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hidePivotFieldList="1" defaultThemeVersion="124226"/>
  <bookViews>
    <workbookView xWindow="-15" yWindow="4425" windowWidth="15330" windowHeight="4470" tabRatio="847"/>
  </bookViews>
  <sheets>
    <sheet name="CONTENTS" sheetId="71" r:id="rId1"/>
    <sheet name="4.1" sheetId="61" r:id="rId2"/>
    <sheet name="4.2" sheetId="83" r:id="rId3"/>
    <sheet name="4.3" sheetId="86" r:id="rId4"/>
    <sheet name="Fig 4.1" sheetId="75" r:id="rId5"/>
    <sheet name="Fig 4.2" sheetId="76" r:id="rId6"/>
    <sheet name="Fig 4.3" sheetId="72" r:id="rId7"/>
    <sheet name="Fig 4.4" sheetId="84" r:id="rId8"/>
    <sheet name="A4.1.1" sheetId="50" r:id="rId9"/>
    <sheet name="A4.1.1 continued" sheetId="63" r:id="rId10"/>
    <sheet name="A4.2.1" sheetId="58" r:id="rId11"/>
    <sheet name="A4.2.2" sheetId="53" r:id="rId12"/>
    <sheet name="A4.2.3" sheetId="54" r:id="rId13"/>
    <sheet name="A4.2.4" sheetId="52" r:id="rId14"/>
    <sheet name="A4.2.5" sheetId="55" r:id="rId15"/>
    <sheet name="A4.3.1" sheetId="56" r:id="rId16"/>
    <sheet name="A4.4.1" sheetId="80" r:id="rId17"/>
    <sheet name="A4.4.2" sheetId="78" r:id="rId18"/>
    <sheet name="A4.4.3" sheetId="79" r:id="rId19"/>
    <sheet name="A4.5.1" sheetId="87" r:id="rId20"/>
    <sheet name="A4.5.2" sheetId="88" r:id="rId21"/>
    <sheet name="A4.6.1" sheetId="77" r:id="rId22"/>
  </sheets>
  <definedNames>
    <definedName name="_xlnm.Print_Area" localSheetId="1">'4.1'!$A$1:$E$8</definedName>
    <definedName name="_xlnm.Print_Area" localSheetId="2">'4.2'!$A$1:$E$7</definedName>
    <definedName name="_xlnm.Print_Area" localSheetId="3">'4.3'!$A$1:$H$7</definedName>
    <definedName name="_xlnm.Print_Area" localSheetId="8">A4.1.1!$A$1:$O$39</definedName>
    <definedName name="_xlnm.Print_Area" localSheetId="9">'A4.1.1 continued'!$A$1:$O$38</definedName>
    <definedName name="_xlnm.Print_Area" localSheetId="10">A4.2.1!$A$1:$O$19</definedName>
    <definedName name="_xlnm.Print_Area" localSheetId="11">A4.2.2!$A$1:$O$39</definedName>
    <definedName name="_xlnm.Print_Area" localSheetId="12">A4.2.3!$A$1:$O$39</definedName>
    <definedName name="_xlnm.Print_Area" localSheetId="13">A4.2.4!$A$1:$O$39</definedName>
    <definedName name="_xlnm.Print_Area" localSheetId="14">A4.2.5!$A$1:$O$39</definedName>
    <definedName name="_xlnm.Print_Area" localSheetId="15">A4.3.1!$A$1:$O$24</definedName>
    <definedName name="_xlnm.Print_Area" localSheetId="16">A4.4.1!$A$1:$O$38</definedName>
    <definedName name="_xlnm.Print_Area" localSheetId="17">A4.4.2!$A$1:$O$38</definedName>
    <definedName name="_xlnm.Print_Area" localSheetId="18">A4.4.3!$A$1:$O$38</definedName>
    <definedName name="_xlnm.Print_Area" localSheetId="19">A4.5.1!$A$1:$O$38</definedName>
    <definedName name="_xlnm.Print_Area" localSheetId="20">A4.5.2!$A$1:$O$37</definedName>
    <definedName name="_xlnm.Print_Area" localSheetId="21">A4.6.1!$A$1:$S$43</definedName>
    <definedName name="_xlnm.Print_Area" localSheetId="4">'Fig 4.1'!$A$1:$E$34</definedName>
    <definedName name="_xlnm.Print_Area" localSheetId="5">'Fig 4.2'!$A$1:$E$35</definedName>
    <definedName name="_xlnm.Print_Area" localSheetId="6">'Fig 4.3'!$A$1:$G$42</definedName>
    <definedName name="_xlnm.Print_Area" localSheetId="7">'Fig 4.4'!$A$1:$G$37</definedName>
    <definedName name="SAPBEXdnldView" hidden="1">"47QF1XF9JCPHJDJVUDDWCYZ91"</definedName>
    <definedName name="SAPBEXsysID" hidden="1">"BWP"</definedName>
  </definedNames>
  <calcPr calcId="125725"/>
</workbook>
</file>

<file path=xl/calcChain.xml><?xml version="1.0" encoding="utf-8"?>
<calcChain xmlns="http://schemas.openxmlformats.org/spreadsheetml/2006/main">
  <c r="N37" i="88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O12" s="1"/>
  <c r="N11"/>
  <c r="M11"/>
  <c r="O11" s="1"/>
  <c r="N10"/>
  <c r="M10"/>
  <c r="O10" s="1"/>
  <c r="N9"/>
  <c r="M9"/>
  <c r="O9" s="1"/>
  <c r="N8"/>
  <c r="M8"/>
  <c r="O8" s="1"/>
  <c r="N7"/>
  <c r="M7"/>
  <c r="O7" s="1"/>
  <c r="N6"/>
  <c r="M6"/>
  <c r="O6" s="1"/>
  <c r="N5"/>
  <c r="M5"/>
  <c r="O5" s="1"/>
  <c r="N4"/>
  <c r="M4"/>
  <c r="O4" s="1"/>
  <c r="K37"/>
  <c r="J37"/>
  <c r="L37" s="1"/>
  <c r="K36"/>
  <c r="J36"/>
  <c r="L36" s="1"/>
  <c r="K35"/>
  <c r="J35"/>
  <c r="L35" s="1"/>
  <c r="K34"/>
  <c r="J34"/>
  <c r="L34" s="1"/>
  <c r="K33"/>
  <c r="J33"/>
  <c r="L33" s="1"/>
  <c r="K32"/>
  <c r="J32"/>
  <c r="L32" s="1"/>
  <c r="K31"/>
  <c r="J31"/>
  <c r="L31" s="1"/>
  <c r="K30"/>
  <c r="J30"/>
  <c r="L30" s="1"/>
  <c r="K29"/>
  <c r="J29"/>
  <c r="L29" s="1"/>
  <c r="K28"/>
  <c r="J28"/>
  <c r="L28" s="1"/>
  <c r="K27"/>
  <c r="J27"/>
  <c r="L27" s="1"/>
  <c r="K26"/>
  <c r="J26"/>
  <c r="L26" s="1"/>
  <c r="K25"/>
  <c r="J25"/>
  <c r="L25" s="1"/>
  <c r="K24"/>
  <c r="J24"/>
  <c r="L24" s="1"/>
  <c r="K23"/>
  <c r="J23"/>
  <c r="L23" s="1"/>
  <c r="K22"/>
  <c r="J22"/>
  <c r="L22" s="1"/>
  <c r="K21"/>
  <c r="J21"/>
  <c r="L21" s="1"/>
  <c r="K20"/>
  <c r="J20"/>
  <c r="L20" s="1"/>
  <c r="K19"/>
  <c r="J19"/>
  <c r="L19" s="1"/>
  <c r="K18"/>
  <c r="J18"/>
  <c r="L18" s="1"/>
  <c r="K17"/>
  <c r="J17"/>
  <c r="L17" s="1"/>
  <c r="K16"/>
  <c r="J16"/>
  <c r="L16" s="1"/>
  <c r="K15"/>
  <c r="J15"/>
  <c r="L15" s="1"/>
  <c r="K14"/>
  <c r="J14"/>
  <c r="L14" s="1"/>
  <c r="K13"/>
  <c r="J13"/>
  <c r="L13" s="1"/>
  <c r="K12"/>
  <c r="J12"/>
  <c r="L12" s="1"/>
  <c r="K11"/>
  <c r="J11"/>
  <c r="L11" s="1"/>
  <c r="K10"/>
  <c r="J10"/>
  <c r="L10" s="1"/>
  <c r="K9"/>
  <c r="J9"/>
  <c r="L9" s="1"/>
  <c r="K8"/>
  <c r="J8"/>
  <c r="L8" s="1"/>
  <c r="K7"/>
  <c r="J7"/>
  <c r="L7" s="1"/>
  <c r="K6"/>
  <c r="J6"/>
  <c r="L6" s="1"/>
  <c r="K5"/>
  <c r="J5"/>
  <c r="L5" s="1"/>
  <c r="K4"/>
  <c r="J4"/>
  <c r="L4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H11"/>
  <c r="G11"/>
  <c r="I11" s="1"/>
  <c r="H10"/>
  <c r="G10"/>
  <c r="I10" s="1"/>
  <c r="H9"/>
  <c r="G9"/>
  <c r="I9" s="1"/>
  <c r="H8"/>
  <c r="G8"/>
  <c r="I8" s="1"/>
  <c r="H7"/>
  <c r="G7"/>
  <c r="I7" s="1"/>
  <c r="H6"/>
  <c r="G6"/>
  <c r="I6" s="1"/>
  <c r="H5"/>
  <c r="G5"/>
  <c r="I5" s="1"/>
  <c r="H4"/>
  <c r="G4"/>
  <c r="I4" s="1"/>
  <c r="E37"/>
  <c r="D37"/>
  <c r="F37" s="1"/>
  <c r="E36"/>
  <c r="D36"/>
  <c r="F36" s="1"/>
  <c r="E35"/>
  <c r="D35"/>
  <c r="F35" s="1"/>
  <c r="E34"/>
  <c r="D34"/>
  <c r="F34" s="1"/>
  <c r="E33"/>
  <c r="D33"/>
  <c r="F33" s="1"/>
  <c r="E32"/>
  <c r="D32"/>
  <c r="F32" s="1"/>
  <c r="E31"/>
  <c r="D31"/>
  <c r="F31" s="1"/>
  <c r="E30"/>
  <c r="D30"/>
  <c r="E29"/>
  <c r="D29"/>
  <c r="F29" s="1"/>
  <c r="E28"/>
  <c r="D28"/>
  <c r="F28" s="1"/>
  <c r="E27"/>
  <c r="D27"/>
  <c r="F27" s="1"/>
  <c r="E26"/>
  <c r="D26"/>
  <c r="F26" s="1"/>
  <c r="E25"/>
  <c r="D25"/>
  <c r="F25" s="1"/>
  <c r="E24"/>
  <c r="D24"/>
  <c r="F24" s="1"/>
  <c r="E23"/>
  <c r="D23"/>
  <c r="F23" s="1"/>
  <c r="E22"/>
  <c r="D22"/>
  <c r="E21"/>
  <c r="D21"/>
  <c r="F21" s="1"/>
  <c r="E20"/>
  <c r="D20"/>
  <c r="F20" s="1"/>
  <c r="E19"/>
  <c r="D19"/>
  <c r="F19" s="1"/>
  <c r="E18"/>
  <c r="D18"/>
  <c r="F18" s="1"/>
  <c r="E17"/>
  <c r="D17"/>
  <c r="F17" s="1"/>
  <c r="E16"/>
  <c r="D16"/>
  <c r="F16" s="1"/>
  <c r="E15"/>
  <c r="D15"/>
  <c r="F15" s="1"/>
  <c r="E14"/>
  <c r="D14"/>
  <c r="E13"/>
  <c r="D13"/>
  <c r="F13" s="1"/>
  <c r="E12"/>
  <c r="D12"/>
  <c r="F12" s="1"/>
  <c r="E11"/>
  <c r="D11"/>
  <c r="F11" s="1"/>
  <c r="E10"/>
  <c r="D10"/>
  <c r="F10" s="1"/>
  <c r="E9"/>
  <c r="D9"/>
  <c r="F9" s="1"/>
  <c r="E8"/>
  <c r="D8"/>
  <c r="F8" s="1"/>
  <c r="E7"/>
  <c r="D7"/>
  <c r="F7" s="1"/>
  <c r="E6"/>
  <c r="D6"/>
  <c r="E5"/>
  <c r="D5"/>
  <c r="F5" s="1"/>
  <c r="E4"/>
  <c r="D4"/>
  <c r="F4" s="1"/>
  <c r="F30"/>
  <c r="F22"/>
  <c r="F14"/>
  <c r="F6"/>
  <c r="N37" i="87"/>
  <c r="M37"/>
  <c r="N36"/>
  <c r="M36"/>
  <c r="N35"/>
  <c r="M35"/>
  <c r="N34"/>
  <c r="M34"/>
  <c r="N33"/>
  <c r="M33"/>
  <c r="N32"/>
  <c r="M32"/>
  <c r="N31"/>
  <c r="M31"/>
  <c r="N30"/>
  <c r="M30"/>
  <c r="N29"/>
  <c r="M29"/>
  <c r="N28"/>
  <c r="M28"/>
  <c r="N27"/>
  <c r="M27"/>
  <c r="N26"/>
  <c r="M26"/>
  <c r="N25"/>
  <c r="M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O12" s="1"/>
  <c r="N11"/>
  <c r="M11"/>
  <c r="O11" s="1"/>
  <c r="N10"/>
  <c r="M10"/>
  <c r="O10" s="1"/>
  <c r="N9"/>
  <c r="M9"/>
  <c r="O9" s="1"/>
  <c r="N8"/>
  <c r="M8"/>
  <c r="O8" s="1"/>
  <c r="N7"/>
  <c r="M7"/>
  <c r="O7" s="1"/>
  <c r="N6"/>
  <c r="M6"/>
  <c r="O6" s="1"/>
  <c r="N5"/>
  <c r="M5"/>
  <c r="O5" s="1"/>
  <c r="N4"/>
  <c r="M4"/>
  <c r="O4" s="1"/>
  <c r="K37"/>
  <c r="J37"/>
  <c r="L37" s="1"/>
  <c r="K36"/>
  <c r="J36"/>
  <c r="L36" s="1"/>
  <c r="K35"/>
  <c r="J35"/>
  <c r="L35" s="1"/>
  <c r="K34"/>
  <c r="J34"/>
  <c r="L34" s="1"/>
  <c r="K33"/>
  <c r="J33"/>
  <c r="L33" s="1"/>
  <c r="K32"/>
  <c r="J32"/>
  <c r="L32" s="1"/>
  <c r="K31"/>
  <c r="J31"/>
  <c r="L31" s="1"/>
  <c r="K30"/>
  <c r="J30"/>
  <c r="L30" s="1"/>
  <c r="K29"/>
  <c r="J29"/>
  <c r="L29" s="1"/>
  <c r="K28"/>
  <c r="J28"/>
  <c r="L28" s="1"/>
  <c r="K27"/>
  <c r="J27"/>
  <c r="L27" s="1"/>
  <c r="K26"/>
  <c r="J26"/>
  <c r="L26" s="1"/>
  <c r="K25"/>
  <c r="J25"/>
  <c r="L25" s="1"/>
  <c r="K24"/>
  <c r="J24"/>
  <c r="L24" s="1"/>
  <c r="K23"/>
  <c r="J23"/>
  <c r="L23" s="1"/>
  <c r="K22"/>
  <c r="J22"/>
  <c r="L22" s="1"/>
  <c r="K21"/>
  <c r="J21"/>
  <c r="L21" s="1"/>
  <c r="K20"/>
  <c r="J20"/>
  <c r="L20" s="1"/>
  <c r="K19"/>
  <c r="J19"/>
  <c r="L19" s="1"/>
  <c r="K18"/>
  <c r="J18"/>
  <c r="L18" s="1"/>
  <c r="K17"/>
  <c r="J17"/>
  <c r="L17" s="1"/>
  <c r="K16"/>
  <c r="J16"/>
  <c r="L16" s="1"/>
  <c r="K15"/>
  <c r="J15"/>
  <c r="L15" s="1"/>
  <c r="K14"/>
  <c r="J14"/>
  <c r="L14" s="1"/>
  <c r="K13"/>
  <c r="J13"/>
  <c r="L13" s="1"/>
  <c r="K12"/>
  <c r="J12"/>
  <c r="L12" s="1"/>
  <c r="K11"/>
  <c r="J11"/>
  <c r="L11" s="1"/>
  <c r="K10"/>
  <c r="J10"/>
  <c r="L10" s="1"/>
  <c r="K9"/>
  <c r="J9"/>
  <c r="L9" s="1"/>
  <c r="K8"/>
  <c r="J8"/>
  <c r="L8" s="1"/>
  <c r="K7"/>
  <c r="J7"/>
  <c r="L7" s="1"/>
  <c r="K6"/>
  <c r="J6"/>
  <c r="L6" s="1"/>
  <c r="K5"/>
  <c r="J5"/>
  <c r="L5" s="1"/>
  <c r="K4"/>
  <c r="J4"/>
  <c r="L4" s="1"/>
  <c r="H37"/>
  <c r="G37"/>
  <c r="I37" s="1"/>
  <c r="H36"/>
  <c r="G36"/>
  <c r="I36" s="1"/>
  <c r="H35"/>
  <c r="G35"/>
  <c r="I35" s="1"/>
  <c r="H34"/>
  <c r="G34"/>
  <c r="I34" s="1"/>
  <c r="H33"/>
  <c r="G33"/>
  <c r="I33" s="1"/>
  <c r="H32"/>
  <c r="G32"/>
  <c r="I32" s="1"/>
  <c r="H31"/>
  <c r="G31"/>
  <c r="I31" s="1"/>
  <c r="H30"/>
  <c r="G30"/>
  <c r="I30" s="1"/>
  <c r="H29"/>
  <c r="G29"/>
  <c r="I29" s="1"/>
  <c r="H28"/>
  <c r="G28"/>
  <c r="I28" s="1"/>
  <c r="H27"/>
  <c r="G27"/>
  <c r="I27" s="1"/>
  <c r="H26"/>
  <c r="G26"/>
  <c r="I26" s="1"/>
  <c r="H25"/>
  <c r="G25"/>
  <c r="I25" s="1"/>
  <c r="H24"/>
  <c r="G24"/>
  <c r="I24" s="1"/>
  <c r="H23"/>
  <c r="G23"/>
  <c r="I23" s="1"/>
  <c r="H22"/>
  <c r="G22"/>
  <c r="I22" s="1"/>
  <c r="H21"/>
  <c r="G21"/>
  <c r="I21" s="1"/>
  <c r="H20"/>
  <c r="G20"/>
  <c r="I20" s="1"/>
  <c r="H19"/>
  <c r="G19"/>
  <c r="I19" s="1"/>
  <c r="H18"/>
  <c r="G18"/>
  <c r="I18" s="1"/>
  <c r="H17"/>
  <c r="G17"/>
  <c r="I17" s="1"/>
  <c r="H16"/>
  <c r="G16"/>
  <c r="I16" s="1"/>
  <c r="H15"/>
  <c r="G15"/>
  <c r="I15" s="1"/>
  <c r="H14"/>
  <c r="G14"/>
  <c r="I14" s="1"/>
  <c r="H13"/>
  <c r="G13"/>
  <c r="I13" s="1"/>
  <c r="H12"/>
  <c r="G12"/>
  <c r="I12" s="1"/>
  <c r="H11"/>
  <c r="G11"/>
  <c r="I11" s="1"/>
  <c r="H10"/>
  <c r="G10"/>
  <c r="I10" s="1"/>
  <c r="H9"/>
  <c r="G9"/>
  <c r="I9" s="1"/>
  <c r="H8"/>
  <c r="G8"/>
  <c r="I8" s="1"/>
  <c r="H7"/>
  <c r="G7"/>
  <c r="I7" s="1"/>
  <c r="H6"/>
  <c r="G6"/>
  <c r="I6" s="1"/>
  <c r="H5"/>
  <c r="G5"/>
  <c r="I5" s="1"/>
  <c r="H4"/>
  <c r="G4"/>
  <c r="I4" s="1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E37"/>
  <c r="E36"/>
  <c r="E35"/>
  <c r="F35" s="1"/>
  <c r="E34"/>
  <c r="E33"/>
  <c r="F33" s="1"/>
  <c r="E32"/>
  <c r="E31"/>
  <c r="F31" s="1"/>
  <c r="E30"/>
  <c r="E29"/>
  <c r="F29" s="1"/>
  <c r="E28"/>
  <c r="E27"/>
  <c r="F27" s="1"/>
  <c r="E26"/>
  <c r="E25"/>
  <c r="F25" s="1"/>
  <c r="E24"/>
  <c r="E23"/>
  <c r="F23" s="1"/>
  <c r="E22"/>
  <c r="E21"/>
  <c r="F21" s="1"/>
  <c r="E20"/>
  <c r="E19"/>
  <c r="F19" s="1"/>
  <c r="E18"/>
  <c r="E17"/>
  <c r="F17" s="1"/>
  <c r="E16"/>
  <c r="E15"/>
  <c r="F15" s="1"/>
  <c r="E14"/>
  <c r="E13"/>
  <c r="F13" s="1"/>
  <c r="E12"/>
  <c r="E11"/>
  <c r="F11" s="1"/>
  <c r="E10"/>
  <c r="E9"/>
  <c r="F9" s="1"/>
  <c r="E8"/>
  <c r="E7"/>
  <c r="F7" s="1"/>
  <c r="E6"/>
  <c r="E5"/>
  <c r="F5" s="1"/>
  <c r="E4"/>
  <c r="F37"/>
  <c r="O13" i="88" l="1"/>
  <c r="O14"/>
  <c r="O15"/>
  <c r="O16"/>
  <c r="O17"/>
  <c r="O18"/>
  <c r="O19"/>
  <c r="O20"/>
  <c r="O21"/>
  <c r="O22"/>
  <c r="O23"/>
  <c r="O24"/>
  <c r="O25"/>
  <c r="O26"/>
  <c r="O27"/>
  <c r="F4" i="87"/>
  <c r="F6"/>
  <c r="F10"/>
  <c r="F14"/>
  <c r="F18"/>
  <c r="F22"/>
  <c r="F26"/>
  <c r="F32"/>
  <c r="F8"/>
  <c r="F12"/>
  <c r="F16"/>
  <c r="F20"/>
  <c r="F24"/>
  <c r="F28"/>
  <c r="F30"/>
  <c r="F34"/>
  <c r="F36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28" i="88"/>
  <c r="O29"/>
  <c r="O30"/>
  <c r="O31"/>
  <c r="O32"/>
  <c r="O33"/>
  <c r="O34"/>
  <c r="O35"/>
  <c r="O36"/>
  <c r="O37"/>
  <c r="E24" i="86"/>
  <c r="D24"/>
  <c r="C24"/>
  <c r="G6" s="1"/>
  <c r="E23"/>
  <c r="D23"/>
  <c r="C23"/>
  <c r="G5" s="1"/>
  <c r="E22"/>
  <c r="D22"/>
  <c r="C22"/>
  <c r="G4" s="1"/>
  <c r="E21"/>
  <c r="D21"/>
  <c r="C21"/>
  <c r="G3" s="1"/>
  <c r="E18"/>
  <c r="D18"/>
  <c r="C18"/>
  <c r="D6" s="1"/>
  <c r="E17"/>
  <c r="D17"/>
  <c r="C17"/>
  <c r="D5" s="1"/>
  <c r="E16"/>
  <c r="D16"/>
  <c r="C16"/>
  <c r="D4" s="1"/>
  <c r="E15"/>
  <c r="D15"/>
  <c r="C15"/>
  <c r="D3" s="1"/>
  <c r="C33" i="84"/>
  <c r="D33"/>
  <c r="E33"/>
  <c r="C34"/>
  <c r="D34"/>
  <c r="E34"/>
  <c r="C35"/>
  <c r="D35"/>
  <c r="E35"/>
  <c r="C36"/>
  <c r="D36"/>
  <c r="E36"/>
  <c r="E30"/>
  <c r="D30"/>
  <c r="C30"/>
  <c r="E29"/>
  <c r="D29"/>
  <c r="C29"/>
  <c r="E28"/>
  <c r="D28"/>
  <c r="C28"/>
  <c r="E27"/>
  <c r="D27"/>
  <c r="C27"/>
  <c r="C24" i="83"/>
  <c r="C23"/>
  <c r="C22"/>
  <c r="C21"/>
  <c r="D18"/>
  <c r="D17"/>
  <c r="D16"/>
  <c r="D15"/>
  <c r="D24"/>
  <c r="D23"/>
  <c r="D22"/>
  <c r="D21"/>
  <c r="C18"/>
  <c r="C17"/>
  <c r="C16"/>
  <c r="C15"/>
  <c r="E24"/>
  <c r="E23"/>
  <c r="E22"/>
  <c r="E21"/>
  <c r="E18"/>
  <c r="E17"/>
  <c r="E16"/>
  <c r="E15"/>
  <c r="C3" i="86" l="1"/>
  <c r="C4"/>
  <c r="E4" s="1"/>
  <c r="C5"/>
  <c r="E5" s="1"/>
  <c r="C6"/>
  <c r="E6" s="1"/>
  <c r="F3"/>
  <c r="H3" s="1"/>
  <c r="F4"/>
  <c r="H4" s="1"/>
  <c r="F5"/>
  <c r="F6"/>
  <c r="E3"/>
  <c r="H5"/>
  <c r="H6"/>
  <c r="C4" i="83"/>
  <c r="C6"/>
  <c r="C3"/>
  <c r="C5"/>
  <c r="O6" i="56" l="1"/>
  <c r="N6"/>
  <c r="L6"/>
  <c r="K6"/>
  <c r="I6"/>
  <c r="H6"/>
  <c r="F6"/>
  <c r="E6"/>
  <c r="O7" i="58"/>
  <c r="N7"/>
  <c r="M7"/>
  <c r="L7"/>
  <c r="K7"/>
  <c r="J7"/>
  <c r="I7"/>
  <c r="H7"/>
  <c r="G7"/>
  <c r="F7"/>
  <c r="E7"/>
  <c r="D7"/>
  <c r="M14" i="54"/>
  <c r="J14"/>
  <c r="G14"/>
  <c r="O14" i="53"/>
  <c r="N14"/>
  <c r="L14"/>
  <c r="K14"/>
  <c r="I14"/>
  <c r="H14"/>
  <c r="F14"/>
  <c r="E14"/>
  <c r="D14" i="54"/>
  <c r="O14" i="52"/>
  <c r="N14"/>
  <c r="L14"/>
  <c r="K14"/>
  <c r="I14"/>
  <c r="H14"/>
  <c r="F14"/>
  <c r="E14"/>
  <c r="O14" i="54"/>
  <c r="N14"/>
  <c r="L14"/>
  <c r="K14"/>
  <c r="I14"/>
  <c r="H14"/>
  <c r="F14"/>
  <c r="E14"/>
  <c r="N36" i="80" l="1"/>
  <c r="M36"/>
  <c r="K36"/>
  <c r="J36"/>
  <c r="H36"/>
  <c r="G36"/>
  <c r="E36"/>
  <c r="D36"/>
  <c r="N35"/>
  <c r="M35"/>
  <c r="K35"/>
  <c r="J35"/>
  <c r="H35"/>
  <c r="G35"/>
  <c r="E35"/>
  <c r="D35"/>
  <c r="N34"/>
  <c r="M34"/>
  <c r="K34"/>
  <c r="J34"/>
  <c r="H34"/>
  <c r="G34"/>
  <c r="E34"/>
  <c r="D34"/>
  <c r="N33"/>
  <c r="M33"/>
  <c r="K33"/>
  <c r="J33"/>
  <c r="H33"/>
  <c r="G33"/>
  <c r="E33"/>
  <c r="D33"/>
  <c r="N32"/>
  <c r="M32"/>
  <c r="K32"/>
  <c r="J32"/>
  <c r="H32"/>
  <c r="G32"/>
  <c r="E32"/>
  <c r="D32"/>
  <c r="N31"/>
  <c r="M31"/>
  <c r="K31"/>
  <c r="J31"/>
  <c r="H31"/>
  <c r="G31"/>
  <c r="E31"/>
  <c r="D3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N26"/>
  <c r="M26"/>
  <c r="K26"/>
  <c r="J26"/>
  <c r="H26"/>
  <c r="G26"/>
  <c r="E26"/>
  <c r="D26"/>
  <c r="N25"/>
  <c r="M25"/>
  <c r="K25"/>
  <c r="J25"/>
  <c r="H25"/>
  <c r="G25"/>
  <c r="E25"/>
  <c r="D25"/>
  <c r="N24"/>
  <c r="M24"/>
  <c r="K24"/>
  <c r="J24"/>
  <c r="H24"/>
  <c r="G24"/>
  <c r="E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N19"/>
  <c r="M19"/>
  <c r="K19"/>
  <c r="J19"/>
  <c r="H19"/>
  <c r="G19"/>
  <c r="E19"/>
  <c r="D19"/>
  <c r="N18"/>
  <c r="M18"/>
  <c r="K18"/>
  <c r="J18"/>
  <c r="H18"/>
  <c r="G18"/>
  <c r="E18"/>
  <c r="D18"/>
  <c r="N17"/>
  <c r="M17"/>
  <c r="K17"/>
  <c r="J17"/>
  <c r="H17"/>
  <c r="G17"/>
  <c r="E17"/>
  <c r="D17"/>
  <c r="N16"/>
  <c r="M16"/>
  <c r="K16"/>
  <c r="J16"/>
  <c r="H16"/>
  <c r="G16"/>
  <c r="E16"/>
  <c r="D16"/>
  <c r="N15"/>
  <c r="M15"/>
  <c r="K15"/>
  <c r="J15"/>
  <c r="H15"/>
  <c r="G15"/>
  <c r="E15"/>
  <c r="D15"/>
  <c r="N14"/>
  <c r="M14"/>
  <c r="K14"/>
  <c r="J14"/>
  <c r="H14"/>
  <c r="G14"/>
  <c r="E14"/>
  <c r="D14"/>
  <c r="N13"/>
  <c r="M13"/>
  <c r="K13"/>
  <c r="J13"/>
  <c r="H13"/>
  <c r="G13"/>
  <c r="E13"/>
  <c r="D13"/>
  <c r="N12"/>
  <c r="M12"/>
  <c r="K12"/>
  <c r="J12"/>
  <c r="H12"/>
  <c r="G12"/>
  <c r="E12"/>
  <c r="D12"/>
  <c r="N11"/>
  <c r="M11"/>
  <c r="K11"/>
  <c r="J11"/>
  <c r="H11"/>
  <c r="G11"/>
  <c r="E11"/>
  <c r="D11"/>
  <c r="N10"/>
  <c r="M10"/>
  <c r="K10"/>
  <c r="J10"/>
  <c r="H10"/>
  <c r="G10"/>
  <c r="E10"/>
  <c r="D10"/>
  <c r="N9"/>
  <c r="M9"/>
  <c r="K9"/>
  <c r="J9"/>
  <c r="H9"/>
  <c r="G9"/>
  <c r="E9"/>
  <c r="D9"/>
  <c r="N8"/>
  <c r="M8"/>
  <c r="K8"/>
  <c r="J8"/>
  <c r="H8"/>
  <c r="G8"/>
  <c r="E8"/>
  <c r="D8"/>
  <c r="N7"/>
  <c r="M7"/>
  <c r="K7"/>
  <c r="J7"/>
  <c r="H7"/>
  <c r="G7"/>
  <c r="E7"/>
  <c r="D7"/>
  <c r="N6"/>
  <c r="M6"/>
  <c r="K6"/>
  <c r="J6"/>
  <c r="H6"/>
  <c r="G6"/>
  <c r="E6"/>
  <c r="D6"/>
  <c r="N5"/>
  <c r="M5"/>
  <c r="K5"/>
  <c r="J5"/>
  <c r="H5"/>
  <c r="G5"/>
  <c r="E5"/>
  <c r="D5"/>
  <c r="N4"/>
  <c r="M4"/>
  <c r="K4"/>
  <c r="J4"/>
  <c r="H4"/>
  <c r="G4"/>
  <c r="E4"/>
  <c r="D4"/>
  <c r="O36" i="79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O36" i="78"/>
  <c r="O36" i="80" s="1"/>
  <c r="O35" i="78"/>
  <c r="O35" i="80" s="1"/>
  <c r="O34" i="78"/>
  <c r="O34" i="80" s="1"/>
  <c r="O33" i="78"/>
  <c r="O33" i="80" s="1"/>
  <c r="O32" i="78"/>
  <c r="O32" i="80" s="1"/>
  <c r="O31" i="78"/>
  <c r="O31" i="80" s="1"/>
  <c r="O30" i="78"/>
  <c r="O30" i="80" s="1"/>
  <c r="O29" i="78"/>
  <c r="O29" i="80" s="1"/>
  <c r="O28" i="78"/>
  <c r="O28" i="80" s="1"/>
  <c r="O27" i="78"/>
  <c r="O27" i="80" s="1"/>
  <c r="O26" i="78"/>
  <c r="O26" i="80" s="1"/>
  <c r="O25" i="78"/>
  <c r="O25" i="80" s="1"/>
  <c r="O24" i="78"/>
  <c r="O24" i="80" s="1"/>
  <c r="O23" i="78"/>
  <c r="O23" i="80" s="1"/>
  <c r="O22" i="78"/>
  <c r="O22" i="80" s="1"/>
  <c r="O21" i="78"/>
  <c r="O21" i="80" s="1"/>
  <c r="O20" i="78"/>
  <c r="O20" i="80" s="1"/>
  <c r="O19" i="78"/>
  <c r="O19" i="80" s="1"/>
  <c r="O18" i="78"/>
  <c r="O18" i="80" s="1"/>
  <c r="O17" i="78"/>
  <c r="O17" i="80" s="1"/>
  <c r="O16" i="78"/>
  <c r="O16" i="80" s="1"/>
  <c r="O15" i="78"/>
  <c r="O15" i="80" s="1"/>
  <c r="O14" i="78"/>
  <c r="O14" i="80" s="1"/>
  <c r="O13" i="78"/>
  <c r="O13" i="80" s="1"/>
  <c r="O12" i="78"/>
  <c r="O12" i="80" s="1"/>
  <c r="O11" i="78"/>
  <c r="O11" i="80" s="1"/>
  <c r="O10" i="78"/>
  <c r="O10" i="80" s="1"/>
  <c r="O9" i="78"/>
  <c r="O9" i="80" s="1"/>
  <c r="O8" i="78"/>
  <c r="O8" i="80" s="1"/>
  <c r="O7" i="78"/>
  <c r="O7" i="80" s="1"/>
  <c r="O6" i="78"/>
  <c r="O6" i="80" s="1"/>
  <c r="O5" i="78"/>
  <c r="O5" i="80" s="1"/>
  <c r="O4" i="78"/>
  <c r="O4" i="80" s="1"/>
  <c r="L36" i="78"/>
  <c r="L36" i="80" s="1"/>
  <c r="L35" i="78"/>
  <c r="L35" i="80" s="1"/>
  <c r="L34" i="78"/>
  <c r="L34" i="80" s="1"/>
  <c r="L33" i="78"/>
  <c r="L33" i="80" s="1"/>
  <c r="L32" i="78"/>
  <c r="L32" i="80" s="1"/>
  <c r="L31" i="78"/>
  <c r="L31" i="80" s="1"/>
  <c r="L30" i="78"/>
  <c r="L30" i="80" s="1"/>
  <c r="L29" i="78"/>
  <c r="L29" i="80" s="1"/>
  <c r="L28" i="78"/>
  <c r="L28" i="80" s="1"/>
  <c r="L27" i="78"/>
  <c r="L27" i="80" s="1"/>
  <c r="L26" i="78"/>
  <c r="L26" i="80" s="1"/>
  <c r="L25" i="78"/>
  <c r="L25" i="80" s="1"/>
  <c r="L24" i="78"/>
  <c r="L24" i="80" s="1"/>
  <c r="L23" i="78"/>
  <c r="L23" i="80" s="1"/>
  <c r="L22" i="78"/>
  <c r="L22" i="80" s="1"/>
  <c r="L21" i="78"/>
  <c r="L21" i="80" s="1"/>
  <c r="L20" i="78"/>
  <c r="L20" i="80" s="1"/>
  <c r="L19" i="78"/>
  <c r="L19" i="80" s="1"/>
  <c r="L18" i="78"/>
  <c r="L18" i="80" s="1"/>
  <c r="L17" i="78"/>
  <c r="L17" i="80" s="1"/>
  <c r="L16" i="78"/>
  <c r="L16" i="80" s="1"/>
  <c r="L15" i="78"/>
  <c r="L15" i="80" s="1"/>
  <c r="L14" i="78"/>
  <c r="L14" i="80" s="1"/>
  <c r="L13" i="78"/>
  <c r="L13" i="80" s="1"/>
  <c r="L12" i="78"/>
  <c r="L12" i="80" s="1"/>
  <c r="L11" i="78"/>
  <c r="L11" i="80" s="1"/>
  <c r="L10" i="78"/>
  <c r="L10" i="80" s="1"/>
  <c r="L9" i="78"/>
  <c r="L9" i="80" s="1"/>
  <c r="L8" i="78"/>
  <c r="L8" i="80" s="1"/>
  <c r="L7" i="78"/>
  <c r="L7" i="80" s="1"/>
  <c r="L6" i="78"/>
  <c r="L6" i="80" s="1"/>
  <c r="L5" i="78"/>
  <c r="L5" i="80" s="1"/>
  <c r="L4" i="78"/>
  <c r="L4" i="80" s="1"/>
  <c r="I36" i="78"/>
  <c r="I36" i="80" s="1"/>
  <c r="I35" i="78"/>
  <c r="I35" i="80" s="1"/>
  <c r="I34" i="78"/>
  <c r="I34" i="80" s="1"/>
  <c r="I33" i="78"/>
  <c r="I33" i="80" s="1"/>
  <c r="I32" i="78"/>
  <c r="I32" i="80" s="1"/>
  <c r="I31" i="78"/>
  <c r="I31" i="80" s="1"/>
  <c r="I30" i="78"/>
  <c r="I30" i="80" s="1"/>
  <c r="I29" i="78"/>
  <c r="I29" i="80" s="1"/>
  <c r="I28" i="78"/>
  <c r="I28" i="80" s="1"/>
  <c r="I27" i="78"/>
  <c r="I27" i="80" s="1"/>
  <c r="I26" i="78"/>
  <c r="I26" i="80" s="1"/>
  <c r="I25" i="78"/>
  <c r="I25" i="80" s="1"/>
  <c r="I24" i="78"/>
  <c r="I24" i="80" s="1"/>
  <c r="I23" i="78"/>
  <c r="I23" i="80" s="1"/>
  <c r="I22" i="78"/>
  <c r="I22" i="80" s="1"/>
  <c r="I21" i="78"/>
  <c r="I21" i="80" s="1"/>
  <c r="I20" i="78"/>
  <c r="I20" i="80" s="1"/>
  <c r="I19" i="78"/>
  <c r="I19" i="80" s="1"/>
  <c r="I18" i="78"/>
  <c r="I18" i="80" s="1"/>
  <c r="I17" i="78"/>
  <c r="I17" i="80" s="1"/>
  <c r="I16" i="78"/>
  <c r="I16" i="80" s="1"/>
  <c r="I15" i="78"/>
  <c r="I15" i="80" s="1"/>
  <c r="I14" i="78"/>
  <c r="I14" i="80" s="1"/>
  <c r="I13" i="78"/>
  <c r="I13" i="80" s="1"/>
  <c r="I12" i="78"/>
  <c r="I12" i="80" s="1"/>
  <c r="I11" i="78"/>
  <c r="I11" i="80" s="1"/>
  <c r="I10" i="78"/>
  <c r="I10" i="80" s="1"/>
  <c r="I9" i="78"/>
  <c r="I9" i="80" s="1"/>
  <c r="I8" i="78"/>
  <c r="I8" i="80" s="1"/>
  <c r="I7" i="78"/>
  <c r="I7" i="80" s="1"/>
  <c r="I6" i="78"/>
  <c r="I6" i="80" s="1"/>
  <c r="I5" i="78"/>
  <c r="I5" i="80" s="1"/>
  <c r="I4" i="78"/>
  <c r="I4" i="80" s="1"/>
  <c r="F36" i="78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7" i="80" s="1"/>
  <c r="F16" i="78"/>
  <c r="F15"/>
  <c r="F15" i="80" s="1"/>
  <c r="F14" i="78"/>
  <c r="F13"/>
  <c r="F13" i="80" s="1"/>
  <c r="F12" i="78"/>
  <c r="F11"/>
  <c r="F11" i="80" s="1"/>
  <c r="F10" i="78"/>
  <c r="F9"/>
  <c r="F9" i="80" s="1"/>
  <c r="F8" i="78"/>
  <c r="F7"/>
  <c r="F7" i="80" s="1"/>
  <c r="F6" i="78"/>
  <c r="F5"/>
  <c r="F5" i="80" s="1"/>
  <c r="F4" i="78"/>
  <c r="F4" i="80" l="1"/>
  <c r="F6"/>
  <c r="F8"/>
  <c r="F10"/>
  <c r="F12"/>
  <c r="F14"/>
  <c r="F16"/>
  <c r="F18"/>
  <c r="F20"/>
  <c r="F22"/>
  <c r="F24"/>
  <c r="F26"/>
  <c r="F28"/>
  <c r="F30"/>
  <c r="F32"/>
  <c r="F34"/>
  <c r="F36"/>
  <c r="F19"/>
  <c r="F21"/>
  <c r="F23"/>
  <c r="F25"/>
  <c r="F27"/>
  <c r="F29"/>
  <c r="F31"/>
  <c r="F33"/>
  <c r="F35"/>
  <c r="O37" l="1"/>
  <c r="N37"/>
  <c r="M37"/>
  <c r="L37"/>
  <c r="K37"/>
  <c r="J37"/>
  <c r="I37"/>
  <c r="H37"/>
  <c r="G37"/>
  <c r="F37"/>
  <c r="E37"/>
  <c r="D37"/>
  <c r="O37" i="79"/>
  <c r="N37"/>
  <c r="M37"/>
  <c r="L37"/>
  <c r="K37"/>
  <c r="J37"/>
  <c r="I37"/>
  <c r="H37"/>
  <c r="G37"/>
  <c r="F37"/>
  <c r="E37"/>
  <c r="D37"/>
  <c r="O37" i="78"/>
  <c r="N37"/>
  <c r="M37"/>
  <c r="L37"/>
  <c r="K37"/>
  <c r="J37"/>
  <c r="I37"/>
  <c r="H37"/>
  <c r="G37"/>
  <c r="F37"/>
  <c r="E37"/>
  <c r="D37"/>
  <c r="F22" i="77"/>
  <c r="D22"/>
  <c r="E22"/>
  <c r="G22"/>
  <c r="H22"/>
  <c r="I22"/>
  <c r="J22"/>
  <c r="K22"/>
  <c r="L22"/>
  <c r="M22"/>
  <c r="N22"/>
  <c r="O22"/>
  <c r="P22"/>
  <c r="Q22"/>
  <c r="R22"/>
  <c r="S22"/>
  <c r="R41"/>
  <c r="P41"/>
  <c r="N41"/>
  <c r="L41"/>
  <c r="J41"/>
  <c r="H41"/>
  <c r="R40"/>
  <c r="P40"/>
  <c r="L40"/>
  <c r="J40"/>
  <c r="H40"/>
  <c r="E40"/>
  <c r="R39"/>
  <c r="P39"/>
  <c r="L39"/>
  <c r="J39"/>
  <c r="H39"/>
  <c r="E39"/>
  <c r="R38"/>
  <c r="P38"/>
  <c r="N38"/>
  <c r="L38"/>
  <c r="J38"/>
  <c r="I38"/>
  <c r="H38"/>
  <c r="E38"/>
  <c r="R37"/>
  <c r="P37"/>
  <c r="N37"/>
  <c r="L37"/>
  <c r="J37"/>
  <c r="I37"/>
  <c r="H37"/>
  <c r="G37"/>
  <c r="E37"/>
  <c r="D37"/>
  <c r="R36"/>
  <c r="Q36"/>
  <c r="P36"/>
  <c r="O36"/>
  <c r="N36"/>
  <c r="M36"/>
  <c r="L36"/>
  <c r="K36"/>
  <c r="J36"/>
  <c r="I36"/>
  <c r="H36"/>
  <c r="E36"/>
  <c r="R35"/>
  <c r="P35"/>
  <c r="N35"/>
  <c r="L35"/>
  <c r="J35"/>
  <c r="H35"/>
  <c r="E35"/>
  <c r="S34"/>
  <c r="R34"/>
  <c r="Q34"/>
  <c r="P34"/>
  <c r="N34"/>
  <c r="L34"/>
  <c r="J34"/>
  <c r="H34"/>
  <c r="E34"/>
  <c r="R33"/>
  <c r="P33"/>
  <c r="N33"/>
  <c r="L33"/>
  <c r="J33"/>
  <c r="H33"/>
  <c r="E33"/>
  <c r="S32"/>
  <c r="R32"/>
  <c r="Q32"/>
  <c r="P32"/>
  <c r="O32"/>
  <c r="N32"/>
  <c r="M32"/>
  <c r="L32"/>
  <c r="K32"/>
  <c r="J32"/>
  <c r="I32"/>
  <c r="H32"/>
  <c r="E32"/>
  <c r="R31"/>
  <c r="P31"/>
  <c r="N31"/>
  <c r="L31"/>
  <c r="J31"/>
  <c r="I31"/>
  <c r="H31"/>
  <c r="G31"/>
  <c r="E31"/>
  <c r="D31"/>
  <c r="R30"/>
  <c r="P30"/>
  <c r="N30"/>
  <c r="L30"/>
  <c r="J30"/>
  <c r="I30"/>
  <c r="H30"/>
  <c r="E30"/>
  <c r="R29"/>
  <c r="P29"/>
  <c r="N29"/>
  <c r="L29"/>
  <c r="J29"/>
  <c r="I29"/>
  <c r="H29"/>
  <c r="G29"/>
  <c r="E29"/>
  <c r="D29"/>
  <c r="R28"/>
  <c r="Q28"/>
  <c r="P28"/>
  <c r="O28"/>
  <c r="N28"/>
  <c r="M28"/>
  <c r="L28"/>
  <c r="K28"/>
  <c r="J28"/>
  <c r="I28"/>
  <c r="H28"/>
  <c r="E28"/>
  <c r="D28"/>
  <c r="R27"/>
  <c r="P27"/>
  <c r="N27"/>
  <c r="L27"/>
  <c r="K27"/>
  <c r="J27"/>
  <c r="I27"/>
  <c r="H27"/>
  <c r="G27"/>
  <c r="E27"/>
  <c r="D27"/>
  <c r="R26"/>
  <c r="P26"/>
  <c r="N26"/>
  <c r="M26"/>
  <c r="L26"/>
  <c r="K26"/>
  <c r="J26"/>
  <c r="I26"/>
  <c r="H26"/>
  <c r="E26"/>
  <c r="D26"/>
  <c r="R25"/>
  <c r="P25"/>
  <c r="N25"/>
  <c r="M25"/>
  <c r="L25"/>
  <c r="K25"/>
  <c r="J25"/>
  <c r="I25"/>
  <c r="H25"/>
  <c r="G25"/>
  <c r="E25"/>
  <c r="D25"/>
  <c r="Q42"/>
  <c r="Q24"/>
  <c r="M42"/>
  <c r="M24"/>
  <c r="I42"/>
  <c r="I24"/>
  <c r="E42"/>
  <c r="E24"/>
  <c r="B73" i="76"/>
  <c r="D72"/>
  <c r="C72"/>
  <c r="B72"/>
  <c r="D66"/>
  <c r="C66"/>
  <c r="B66"/>
  <c r="D44"/>
  <c r="D31" s="1"/>
  <c r="C44"/>
  <c r="C31" s="1"/>
  <c r="B44"/>
  <c r="B31" s="1"/>
  <c r="D42"/>
  <c r="D29" s="1"/>
  <c r="C42"/>
  <c r="C29" s="1"/>
  <c r="B42"/>
  <c r="B29" s="1"/>
  <c r="D45"/>
  <c r="D32" s="1"/>
  <c r="C45"/>
  <c r="C32" s="1"/>
  <c r="B45"/>
  <c r="D61"/>
  <c r="C61"/>
  <c r="B61"/>
  <c r="D65"/>
  <c r="C65"/>
  <c r="B65"/>
  <c r="D60"/>
  <c r="C60"/>
  <c r="B60"/>
  <c r="D58"/>
  <c r="C58"/>
  <c r="B58"/>
  <c r="D68"/>
  <c r="C68"/>
  <c r="B68"/>
  <c r="D49"/>
  <c r="C49"/>
  <c r="B49"/>
  <c r="D67"/>
  <c r="C67"/>
  <c r="B67"/>
  <c r="D55"/>
  <c r="C55"/>
  <c r="B55"/>
  <c r="D46"/>
  <c r="C46"/>
  <c r="B46"/>
  <c r="D71"/>
  <c r="C71"/>
  <c r="B71"/>
  <c r="D56"/>
  <c r="C56"/>
  <c r="B56"/>
  <c r="D54"/>
  <c r="C54"/>
  <c r="B54"/>
  <c r="D39"/>
  <c r="D26" s="1"/>
  <c r="C39"/>
  <c r="C26" s="1"/>
  <c r="B39"/>
  <c r="B26" s="1"/>
  <c r="D47"/>
  <c r="C47"/>
  <c r="B47"/>
  <c r="D63"/>
  <c r="C63"/>
  <c r="B63"/>
  <c r="D53"/>
  <c r="C53"/>
  <c r="B53"/>
  <c r="D70"/>
  <c r="C70"/>
  <c r="B70"/>
  <c r="D51"/>
  <c r="C51"/>
  <c r="B51"/>
  <c r="D40"/>
  <c r="D27" s="1"/>
  <c r="C40"/>
  <c r="C27" s="1"/>
  <c r="B40"/>
  <c r="D59"/>
  <c r="C59"/>
  <c r="B59"/>
  <c r="D64"/>
  <c r="C64"/>
  <c r="B64"/>
  <c r="D50"/>
  <c r="C50"/>
  <c r="B50"/>
  <c r="D48"/>
  <c r="C48"/>
  <c r="B48"/>
  <c r="D69"/>
  <c r="C69"/>
  <c r="B69"/>
  <c r="D52"/>
  <c r="C52"/>
  <c r="B52"/>
  <c r="D57"/>
  <c r="C57"/>
  <c r="B57"/>
  <c r="D62"/>
  <c r="C62"/>
  <c r="B62"/>
  <c r="D41"/>
  <c r="D28" s="1"/>
  <c r="C41"/>
  <c r="C28" s="1"/>
  <c r="B41"/>
  <c r="B28" s="1"/>
  <c r="B43"/>
  <c r="B30" s="1"/>
  <c r="D43"/>
  <c r="D30" s="1"/>
  <c r="C43"/>
  <c r="C30" s="1"/>
  <c r="B72" i="75"/>
  <c r="D71"/>
  <c r="C71"/>
  <c r="B71"/>
  <c r="D61"/>
  <c r="C61"/>
  <c r="B61"/>
  <c r="D43"/>
  <c r="D31" s="1"/>
  <c r="C43"/>
  <c r="C31" s="1"/>
  <c r="B43"/>
  <c r="B31" s="1"/>
  <c r="D51"/>
  <c r="C51"/>
  <c r="B51"/>
  <c r="D42"/>
  <c r="D30" s="1"/>
  <c r="C42"/>
  <c r="C30" s="1"/>
  <c r="B42"/>
  <c r="D65"/>
  <c r="C65"/>
  <c r="B65"/>
  <c r="D60"/>
  <c r="C60"/>
  <c r="B60"/>
  <c r="D57"/>
  <c r="C57"/>
  <c r="B57"/>
  <c r="D66"/>
  <c r="C66"/>
  <c r="B66"/>
  <c r="D69"/>
  <c r="C69"/>
  <c r="B69"/>
  <c r="D40"/>
  <c r="D28" s="1"/>
  <c r="C40"/>
  <c r="C28" s="1"/>
  <c r="B40"/>
  <c r="B28" s="1"/>
  <c r="D68"/>
  <c r="C68"/>
  <c r="B68"/>
  <c r="D55"/>
  <c r="C55"/>
  <c r="B55"/>
  <c r="D59"/>
  <c r="C59"/>
  <c r="B59"/>
  <c r="D64"/>
  <c r="C64"/>
  <c r="B64"/>
  <c r="D54"/>
  <c r="C54"/>
  <c r="B54"/>
  <c r="D58"/>
  <c r="C58"/>
  <c r="B58"/>
  <c r="D47"/>
  <c r="C47"/>
  <c r="B47"/>
  <c r="D49"/>
  <c r="C49"/>
  <c r="B49"/>
  <c r="D48"/>
  <c r="C48"/>
  <c r="B48"/>
  <c r="D46"/>
  <c r="C46"/>
  <c r="B46"/>
  <c r="D70"/>
  <c r="C70"/>
  <c r="B70"/>
  <c r="D45"/>
  <c r="C45"/>
  <c r="B45"/>
  <c r="D38"/>
  <c r="D26" s="1"/>
  <c r="C38"/>
  <c r="C26" s="1"/>
  <c r="B38"/>
  <c r="D56"/>
  <c r="C56"/>
  <c r="B56"/>
  <c r="D67"/>
  <c r="C67"/>
  <c r="B67"/>
  <c r="D41"/>
  <c r="D29" s="1"/>
  <c r="C41"/>
  <c r="C29" s="1"/>
  <c r="B41"/>
  <c r="B29" s="1"/>
  <c r="D52"/>
  <c r="C52"/>
  <c r="B52"/>
  <c r="D62"/>
  <c r="C62"/>
  <c r="B62"/>
  <c r="D50"/>
  <c r="C50"/>
  <c r="B50"/>
  <c r="D53"/>
  <c r="C53"/>
  <c r="B53"/>
  <c r="D63"/>
  <c r="C63"/>
  <c r="B63"/>
  <c r="D44"/>
  <c r="D32" s="1"/>
  <c r="C44"/>
  <c r="C32" s="1"/>
  <c r="B44"/>
  <c r="B32" s="1"/>
  <c r="D39"/>
  <c r="D27" s="1"/>
  <c r="C39"/>
  <c r="C27" s="1"/>
  <c r="B39"/>
  <c r="B27" s="1"/>
  <c r="S33" i="77" l="1"/>
  <c r="Q37"/>
  <c r="O37"/>
  <c r="M38"/>
  <c r="K39"/>
  <c r="I39"/>
  <c r="G39"/>
  <c r="D41"/>
  <c r="Q25"/>
  <c r="Q26"/>
  <c r="S26"/>
  <c r="Q30"/>
  <c r="K31"/>
  <c r="M31"/>
  <c r="O31"/>
  <c r="Q31"/>
  <c r="S31"/>
  <c r="M33"/>
  <c r="O33"/>
  <c r="Q33"/>
  <c r="M27"/>
  <c r="O27"/>
  <c r="Q27"/>
  <c r="M29"/>
  <c r="O29"/>
  <c r="Q29"/>
  <c r="D30"/>
  <c r="M30"/>
  <c r="D32"/>
  <c r="D33"/>
  <c r="I34"/>
  <c r="G33"/>
  <c r="I33"/>
  <c r="D34"/>
  <c r="M34"/>
  <c r="D35"/>
  <c r="G35"/>
  <c r="I35"/>
  <c r="K35"/>
  <c r="M35"/>
  <c r="O35"/>
  <c r="Q35"/>
  <c r="D36"/>
  <c r="M37"/>
  <c r="D38"/>
  <c r="D39"/>
  <c r="D40"/>
  <c r="S25"/>
  <c r="S27"/>
  <c r="S28"/>
  <c r="S29"/>
  <c r="S30"/>
  <c r="S35"/>
  <c r="S36"/>
  <c r="S37"/>
  <c r="O25"/>
  <c r="O26"/>
  <c r="O30"/>
  <c r="O34"/>
  <c r="O38"/>
  <c r="N39"/>
  <c r="N40"/>
  <c r="K29"/>
  <c r="K30"/>
  <c r="K33"/>
  <c r="K34"/>
  <c r="K37"/>
  <c r="K38"/>
  <c r="G26"/>
  <c r="G28"/>
  <c r="G30"/>
  <c r="G32"/>
  <c r="G34"/>
  <c r="G36"/>
  <c r="G38"/>
  <c r="F41"/>
  <c r="F40"/>
  <c r="F39"/>
  <c r="F38"/>
  <c r="F37"/>
  <c r="F36"/>
  <c r="F35"/>
  <c r="F34"/>
  <c r="F33"/>
  <c r="F31"/>
  <c r="F30"/>
  <c r="F29"/>
  <c r="F28"/>
  <c r="F27"/>
  <c r="F26"/>
  <c r="F25"/>
  <c r="F32"/>
  <c r="Q38"/>
  <c r="S38"/>
  <c r="M39"/>
  <c r="O39"/>
  <c r="Q39"/>
  <c r="S39"/>
  <c r="G40"/>
  <c r="I40"/>
  <c r="K40"/>
  <c r="M40"/>
  <c r="O40"/>
  <c r="Q40"/>
  <c r="S40"/>
  <c r="E41"/>
  <c r="G41"/>
  <c r="I41"/>
  <c r="K41"/>
  <c r="M41"/>
  <c r="O41"/>
  <c r="Q41"/>
  <c r="S41"/>
  <c r="H24"/>
  <c r="P24"/>
  <c r="H42"/>
  <c r="P42"/>
  <c r="D24"/>
  <c r="L24"/>
  <c r="D42"/>
  <c r="L42"/>
  <c r="O37" i="55"/>
  <c r="N37"/>
  <c r="M37"/>
  <c r="L37"/>
  <c r="K37"/>
  <c r="J37"/>
  <c r="I37"/>
  <c r="H37"/>
  <c r="G37"/>
  <c r="F37"/>
  <c r="E37"/>
  <c r="D37"/>
  <c r="O36"/>
  <c r="N36"/>
  <c r="M36"/>
  <c r="L36"/>
  <c r="K36"/>
  <c r="J36"/>
  <c r="I36"/>
  <c r="H36"/>
  <c r="G36"/>
  <c r="F36"/>
  <c r="E36"/>
  <c r="D36"/>
  <c r="O35"/>
  <c r="N35"/>
  <c r="M35"/>
  <c r="L35"/>
  <c r="K35"/>
  <c r="J35"/>
  <c r="I35"/>
  <c r="H35"/>
  <c r="G35"/>
  <c r="F35"/>
  <c r="E35"/>
  <c r="D35"/>
  <c r="O34"/>
  <c r="N34"/>
  <c r="M34"/>
  <c r="L34"/>
  <c r="K34"/>
  <c r="J34"/>
  <c r="I34"/>
  <c r="H34"/>
  <c r="G34"/>
  <c r="F34"/>
  <c r="E34"/>
  <c r="D34"/>
  <c r="O33"/>
  <c r="N33"/>
  <c r="M33"/>
  <c r="L33"/>
  <c r="K33"/>
  <c r="J33"/>
  <c r="I33"/>
  <c r="H33"/>
  <c r="G33"/>
  <c r="F33"/>
  <c r="E33"/>
  <c r="D33"/>
  <c r="O32"/>
  <c r="N32"/>
  <c r="M32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O30"/>
  <c r="N30"/>
  <c r="M30"/>
  <c r="L30"/>
  <c r="K30"/>
  <c r="J30"/>
  <c r="I30"/>
  <c r="H30"/>
  <c r="G30"/>
  <c r="F30"/>
  <c r="E30"/>
  <c r="D30"/>
  <c r="O29"/>
  <c r="N29"/>
  <c r="M29"/>
  <c r="L29"/>
  <c r="K29"/>
  <c r="J29"/>
  <c r="I29"/>
  <c r="H29"/>
  <c r="G29"/>
  <c r="F29"/>
  <c r="E29"/>
  <c r="D29"/>
  <c r="O28"/>
  <c r="N28"/>
  <c r="M28"/>
  <c r="L28"/>
  <c r="K28"/>
  <c r="J28"/>
  <c r="I28"/>
  <c r="H28"/>
  <c r="G28"/>
  <c r="F28"/>
  <c r="E28"/>
  <c r="D28"/>
  <c r="O27"/>
  <c r="N27"/>
  <c r="M27"/>
  <c r="L27"/>
  <c r="K27"/>
  <c r="J27"/>
  <c r="I27"/>
  <c r="H27"/>
  <c r="G27"/>
  <c r="F27"/>
  <c r="E27"/>
  <c r="D27"/>
  <c r="O26"/>
  <c r="N26"/>
  <c r="M26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O24"/>
  <c r="N24"/>
  <c r="M24"/>
  <c r="L24"/>
  <c r="K24"/>
  <c r="J24"/>
  <c r="I24"/>
  <c r="H24"/>
  <c r="G24"/>
  <c r="F24"/>
  <c r="E24"/>
  <c r="D24"/>
  <c r="O23"/>
  <c r="N23"/>
  <c r="M23"/>
  <c r="L23"/>
  <c r="K23"/>
  <c r="J23"/>
  <c r="I23"/>
  <c r="H23"/>
  <c r="G23"/>
  <c r="F23"/>
  <c r="E23"/>
  <c r="D23"/>
  <c r="O22"/>
  <c r="N22"/>
  <c r="M22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O20"/>
  <c r="N20"/>
  <c r="M20"/>
  <c r="L20"/>
  <c r="K20"/>
  <c r="J20"/>
  <c r="I20"/>
  <c r="H20"/>
  <c r="G20"/>
  <c r="F20"/>
  <c r="E20"/>
  <c r="D20"/>
  <c r="O19"/>
  <c r="N19"/>
  <c r="M19"/>
  <c r="L19"/>
  <c r="K19"/>
  <c r="J19"/>
  <c r="I19"/>
  <c r="H19"/>
  <c r="G19"/>
  <c r="F19"/>
  <c r="E19"/>
  <c r="D19"/>
  <c r="O18"/>
  <c r="N18"/>
  <c r="M18"/>
  <c r="L18"/>
  <c r="K18"/>
  <c r="J18"/>
  <c r="I18"/>
  <c r="H18"/>
  <c r="G18"/>
  <c r="F18"/>
  <c r="E18"/>
  <c r="D18"/>
  <c r="O17"/>
  <c r="N17"/>
  <c r="M17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D16"/>
  <c r="O15"/>
  <c r="N15"/>
  <c r="M15"/>
  <c r="L15"/>
  <c r="K15"/>
  <c r="J15"/>
  <c r="I15"/>
  <c r="H15"/>
  <c r="G15"/>
  <c r="F15"/>
  <c r="E15"/>
  <c r="D15"/>
  <c r="O14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O12"/>
  <c r="N12"/>
  <c r="M12"/>
  <c r="L12"/>
  <c r="K12"/>
  <c r="J12"/>
  <c r="I12"/>
  <c r="H12"/>
  <c r="G12"/>
  <c r="F12"/>
  <c r="E12"/>
  <c r="D12"/>
  <c r="O11"/>
  <c r="N11"/>
  <c r="M11"/>
  <c r="L11"/>
  <c r="K11"/>
  <c r="J11"/>
  <c r="I11"/>
  <c r="H11"/>
  <c r="G11"/>
  <c r="F11"/>
  <c r="E11"/>
  <c r="D11"/>
  <c r="O10"/>
  <c r="N10"/>
  <c r="M10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D9"/>
  <c r="O8"/>
  <c r="N8"/>
  <c r="M8"/>
  <c r="L8"/>
  <c r="K8"/>
  <c r="J8"/>
  <c r="I8"/>
  <c r="H8"/>
  <c r="G8"/>
  <c r="F8"/>
  <c r="E8"/>
  <c r="D8"/>
  <c r="O7"/>
  <c r="N7"/>
  <c r="M7"/>
  <c r="L7"/>
  <c r="K7"/>
  <c r="J7"/>
  <c r="I7"/>
  <c r="H7"/>
  <c r="G7"/>
  <c r="F7"/>
  <c r="E7"/>
  <c r="D7"/>
  <c r="O6"/>
  <c r="N6"/>
  <c r="M6"/>
  <c r="L6"/>
  <c r="K6"/>
  <c r="J6"/>
  <c r="I6"/>
  <c r="H6"/>
  <c r="G6"/>
  <c r="F6"/>
  <c r="E6"/>
  <c r="D6"/>
  <c r="O5"/>
  <c r="N5"/>
  <c r="M5"/>
  <c r="L5"/>
  <c r="K5"/>
  <c r="J5"/>
  <c r="I5"/>
  <c r="H5"/>
  <c r="G5"/>
  <c r="F5"/>
  <c r="E5"/>
  <c r="D5"/>
  <c r="O4"/>
  <c r="N4"/>
  <c r="M4"/>
  <c r="L4"/>
  <c r="K4"/>
  <c r="J4"/>
  <c r="I4"/>
  <c r="H4"/>
  <c r="G4"/>
  <c r="F4"/>
  <c r="E4"/>
  <c r="D4"/>
  <c r="O42" i="77" l="1"/>
  <c r="O24"/>
  <c r="G42"/>
  <c r="G24"/>
  <c r="N42"/>
  <c r="N24"/>
  <c r="F42"/>
  <c r="F24"/>
  <c r="R42"/>
  <c r="R24"/>
  <c r="J42"/>
  <c r="J24"/>
  <c r="S42"/>
  <c r="S24"/>
  <c r="K42"/>
  <c r="K24"/>
  <c r="F34" i="72"/>
  <c r="F33"/>
  <c r="F32"/>
  <c r="F30"/>
  <c r="F29"/>
  <c r="F28"/>
  <c r="E34"/>
  <c r="E33"/>
  <c r="E32"/>
  <c r="E30"/>
  <c r="E29"/>
  <c r="E28"/>
  <c r="D34"/>
  <c r="D33"/>
  <c r="D32"/>
  <c r="D30"/>
  <c r="D29"/>
  <c r="D28"/>
  <c r="C34"/>
  <c r="C33"/>
  <c r="C32"/>
  <c r="C30"/>
  <c r="C29"/>
  <c r="C28"/>
  <c r="C31" l="1"/>
  <c r="D31"/>
  <c r="E31"/>
  <c r="F31"/>
  <c r="P61" i="55"/>
  <c r="Q61"/>
  <c r="R61"/>
  <c r="F35" i="72" l="1"/>
  <c r="F40" s="1"/>
  <c r="D35"/>
  <c r="D40" s="1"/>
  <c r="E35"/>
  <c r="E40" s="1"/>
  <c r="C35"/>
  <c r="C40" s="1"/>
  <c r="F38"/>
  <c r="F39"/>
  <c r="F37"/>
  <c r="E39"/>
  <c r="D10" i="58"/>
  <c r="D17" s="1"/>
  <c r="E10"/>
  <c r="E17" s="1"/>
  <c r="F10"/>
  <c r="F17" s="1"/>
  <c r="G10"/>
  <c r="G17" s="1"/>
  <c r="H10"/>
  <c r="H17" s="1"/>
  <c r="I10"/>
  <c r="I17" s="1"/>
  <c r="J10"/>
  <c r="J17" s="1"/>
  <c r="K10"/>
  <c r="K17" s="1"/>
  <c r="L10"/>
  <c r="L17" s="1"/>
  <c r="M10"/>
  <c r="N10"/>
  <c r="O10"/>
  <c r="L18"/>
  <c r="K18"/>
  <c r="J18"/>
  <c r="I18"/>
  <c r="H18"/>
  <c r="G18"/>
  <c r="F18"/>
  <c r="E18"/>
  <c r="D18"/>
  <c r="L16"/>
  <c r="H16"/>
  <c r="D16"/>
  <c r="F15"/>
  <c r="J14"/>
  <c r="I14"/>
  <c r="H14"/>
  <c r="G14"/>
  <c r="F14"/>
  <c r="E14"/>
  <c r="D14"/>
  <c r="F13"/>
  <c r="F12"/>
  <c r="J12"/>
  <c r="C38" i="72" l="1"/>
  <c r="D38"/>
  <c r="D37"/>
  <c r="L12" i="58"/>
  <c r="H12"/>
  <c r="D12"/>
  <c r="J13"/>
  <c r="L14"/>
  <c r="J15"/>
  <c r="F16"/>
  <c r="J16"/>
  <c r="D39" i="72"/>
  <c r="C39"/>
  <c r="C37"/>
  <c r="C41" s="1"/>
  <c r="E37"/>
  <c r="E38"/>
  <c r="F41"/>
  <c r="K14" i="58"/>
  <c r="K12"/>
  <c r="I12"/>
  <c r="G12"/>
  <c r="E12"/>
  <c r="E16"/>
  <c r="G16"/>
  <c r="I16"/>
  <c r="K16"/>
  <c r="D13"/>
  <c r="H13"/>
  <c r="L13"/>
  <c r="D15"/>
  <c r="H15"/>
  <c r="L15"/>
  <c r="E13"/>
  <c r="G13"/>
  <c r="I13"/>
  <c r="K13"/>
  <c r="E15"/>
  <c r="G15"/>
  <c r="I15"/>
  <c r="K15"/>
  <c r="N38" i="55"/>
  <c r="E41" i="72" l="1"/>
  <c r="D41"/>
  <c r="O38" i="52"/>
  <c r="O13" i="56" l="1"/>
  <c r="N13"/>
  <c r="M13"/>
  <c r="L13"/>
  <c r="K13"/>
  <c r="J13"/>
  <c r="I13"/>
  <c r="H13"/>
  <c r="G13"/>
  <c r="D38" i="55"/>
  <c r="G38" i="52"/>
  <c r="H38"/>
  <c r="I38"/>
  <c r="J38"/>
  <c r="K38"/>
  <c r="L38"/>
  <c r="M38"/>
  <c r="N38"/>
  <c r="D38" i="50" l="1"/>
  <c r="D25" i="63" s="1"/>
  <c r="E38" i="50"/>
  <c r="E21" i="63" s="1"/>
  <c r="F38" i="50"/>
  <c r="F23" i="63" s="1"/>
  <c r="G38" i="50"/>
  <c r="G20" i="63" s="1"/>
  <c r="H38" i="50"/>
  <c r="H25" i="63" s="1"/>
  <c r="I38" i="50"/>
  <c r="I21" i="63" s="1"/>
  <c r="J38" i="50"/>
  <c r="K38"/>
  <c r="K20" i="63" s="1"/>
  <c r="L38" i="50"/>
  <c r="L19" i="63" s="1"/>
  <c r="M38" i="50"/>
  <c r="M21" i="63" s="1"/>
  <c r="N38" i="50"/>
  <c r="O38"/>
  <c r="O38" i="63" s="1"/>
  <c r="D13" i="56"/>
  <c r="E13"/>
  <c r="E15" s="1"/>
  <c r="F13"/>
  <c r="G15"/>
  <c r="H15"/>
  <c r="I15"/>
  <c r="J15"/>
  <c r="K15"/>
  <c r="L15"/>
  <c r="M15"/>
  <c r="N15"/>
  <c r="O15"/>
  <c r="G16"/>
  <c r="H16"/>
  <c r="I16"/>
  <c r="J16"/>
  <c r="K16"/>
  <c r="L16"/>
  <c r="M16"/>
  <c r="N16"/>
  <c r="O16"/>
  <c r="G17"/>
  <c r="H17"/>
  <c r="I17"/>
  <c r="J17"/>
  <c r="K17"/>
  <c r="L17"/>
  <c r="M17"/>
  <c r="N17"/>
  <c r="O17"/>
  <c r="G18"/>
  <c r="H18"/>
  <c r="I18"/>
  <c r="J18"/>
  <c r="K18"/>
  <c r="L18"/>
  <c r="M18"/>
  <c r="N18"/>
  <c r="O18"/>
  <c r="G19"/>
  <c r="H19"/>
  <c r="I19"/>
  <c r="J19"/>
  <c r="K19"/>
  <c r="L19"/>
  <c r="M19"/>
  <c r="N19"/>
  <c r="O19"/>
  <c r="G20"/>
  <c r="H20"/>
  <c r="I20"/>
  <c r="J20"/>
  <c r="K20"/>
  <c r="L20"/>
  <c r="M20"/>
  <c r="N20"/>
  <c r="O20"/>
  <c r="G21"/>
  <c r="H21"/>
  <c r="I21"/>
  <c r="J21"/>
  <c r="K21"/>
  <c r="L21"/>
  <c r="M21"/>
  <c r="N21"/>
  <c r="O21"/>
  <c r="D22"/>
  <c r="E22"/>
  <c r="G22"/>
  <c r="H22"/>
  <c r="I22"/>
  <c r="J22"/>
  <c r="K22"/>
  <c r="L22"/>
  <c r="M22"/>
  <c r="N22"/>
  <c r="O22"/>
  <c r="G23"/>
  <c r="H23"/>
  <c r="I23"/>
  <c r="J23"/>
  <c r="K23"/>
  <c r="L23"/>
  <c r="M23"/>
  <c r="N23"/>
  <c r="O23"/>
  <c r="G24"/>
  <c r="H24"/>
  <c r="I24"/>
  <c r="J24"/>
  <c r="K24"/>
  <c r="L24"/>
  <c r="M24"/>
  <c r="N24"/>
  <c r="O24"/>
  <c r="E20" i="63"/>
  <c r="O20"/>
  <c r="K21"/>
  <c r="I22"/>
  <c r="F25"/>
  <c r="L26"/>
  <c r="D28"/>
  <c r="F29"/>
  <c r="L30"/>
  <c r="J31"/>
  <c r="H32"/>
  <c r="D33"/>
  <c r="F33"/>
  <c r="H33"/>
  <c r="J33"/>
  <c r="E34"/>
  <c r="M34"/>
  <c r="D35"/>
  <c r="E35"/>
  <c r="F35"/>
  <c r="G35"/>
  <c r="H35"/>
  <c r="I35"/>
  <c r="J35"/>
  <c r="O35"/>
  <c r="D36"/>
  <c r="E36"/>
  <c r="F36"/>
  <c r="G36"/>
  <c r="H36"/>
  <c r="I36"/>
  <c r="D37"/>
  <c r="F37"/>
  <c r="H37"/>
  <c r="J37"/>
  <c r="O37"/>
  <c r="D38"/>
  <c r="E38"/>
  <c r="F38"/>
  <c r="G38"/>
  <c r="H38"/>
  <c r="I38"/>
  <c r="J38"/>
  <c r="K38"/>
  <c r="L38"/>
  <c r="M38"/>
  <c r="D38" i="52"/>
  <c r="D38" i="53"/>
  <c r="D38" i="54"/>
  <c r="E38" i="52"/>
  <c r="E38" i="53"/>
  <c r="E38" i="54"/>
  <c r="E38" i="55"/>
  <c r="F38" i="52"/>
  <c r="F38" i="53"/>
  <c r="F38" i="54"/>
  <c r="F38" i="55"/>
  <c r="G38" i="53"/>
  <c r="G38" i="54"/>
  <c r="G38" i="55"/>
  <c r="H38" i="53"/>
  <c r="H38" i="54"/>
  <c r="H38" i="55"/>
  <c r="I38" i="53"/>
  <c r="I38" i="54"/>
  <c r="I38" i="55"/>
  <c r="J38" i="53"/>
  <c r="J38" i="54"/>
  <c r="J38" i="55"/>
  <c r="K38" i="53"/>
  <c r="K38" i="54"/>
  <c r="K38" i="55"/>
  <c r="L38" i="53"/>
  <c r="L38" i="54"/>
  <c r="L38" i="55"/>
  <c r="M38" i="53"/>
  <c r="M38" i="54"/>
  <c r="M38" i="55"/>
  <c r="N38" i="53"/>
  <c r="N38" i="54"/>
  <c r="O38" i="53"/>
  <c r="O38" i="54"/>
  <c r="O38" i="55"/>
  <c r="K37" i="63" l="1"/>
  <c r="I37"/>
  <c r="G37"/>
  <c r="E37"/>
  <c r="M36"/>
  <c r="I34"/>
  <c r="K33"/>
  <c r="I33"/>
  <c r="G33"/>
  <c r="E33"/>
  <c r="O32"/>
  <c r="M22"/>
  <c r="E22"/>
  <c r="G21"/>
  <c r="I20"/>
  <c r="M37"/>
  <c r="K36"/>
  <c r="K34"/>
  <c r="G34"/>
  <c r="M33"/>
  <c r="K22"/>
  <c r="G22"/>
  <c r="J34"/>
  <c r="H34"/>
  <c r="F34"/>
  <c r="D34"/>
  <c r="D32"/>
  <c r="F31"/>
  <c r="D30"/>
  <c r="H28"/>
  <c r="J27"/>
  <c r="D26"/>
  <c r="H23"/>
  <c r="L34"/>
  <c r="L33"/>
  <c r="L32"/>
  <c r="H30"/>
  <c r="J29"/>
  <c r="L28"/>
  <c r="F27"/>
  <c r="H26"/>
  <c r="J25"/>
  <c r="L23"/>
  <c r="D23"/>
  <c r="L22"/>
  <c r="J22"/>
  <c r="H22"/>
  <c r="F22"/>
  <c r="D22"/>
  <c r="L21"/>
  <c r="J21"/>
  <c r="H21"/>
  <c r="F21"/>
  <c r="D21"/>
  <c r="L20"/>
  <c r="J20"/>
  <c r="H20"/>
  <c r="F20"/>
  <c r="D20"/>
  <c r="O22"/>
  <c r="D73" i="76"/>
  <c r="D33" s="1"/>
  <c r="D34" s="1"/>
  <c r="M23" i="63"/>
  <c r="C72" i="75"/>
  <c r="C33" s="1"/>
  <c r="C73" i="76"/>
  <c r="C33" s="1"/>
  <c r="C34" s="1"/>
  <c r="I23" i="63"/>
  <c r="G23"/>
  <c r="E23"/>
  <c r="L37"/>
  <c r="L36"/>
  <c r="J36"/>
  <c r="L35"/>
  <c r="J32"/>
  <c r="F32"/>
  <c r="L31"/>
  <c r="H31"/>
  <c r="D31"/>
  <c r="J30"/>
  <c r="F30"/>
  <c r="L29"/>
  <c r="H29"/>
  <c r="D29"/>
  <c r="J28"/>
  <c r="F28"/>
  <c r="L27"/>
  <c r="H27"/>
  <c r="D27"/>
  <c r="J26"/>
  <c r="F26"/>
  <c r="L25"/>
  <c r="J23"/>
  <c r="D72" i="75"/>
  <c r="D33" s="1"/>
  <c r="D34" s="1"/>
  <c r="O36" i="63"/>
  <c r="M35"/>
  <c r="K35"/>
  <c r="O34"/>
  <c r="I32"/>
  <c r="G32"/>
  <c r="E32"/>
  <c r="M31"/>
  <c r="K31"/>
  <c r="I31"/>
  <c r="G31"/>
  <c r="E31"/>
  <c r="M30"/>
  <c r="K30"/>
  <c r="I30"/>
  <c r="G30"/>
  <c r="E30"/>
  <c r="O29"/>
  <c r="O33"/>
  <c r="M32"/>
  <c r="K32"/>
  <c r="O31"/>
  <c r="I29"/>
  <c r="G29"/>
  <c r="E29"/>
  <c r="M28"/>
  <c r="K28"/>
  <c r="I28"/>
  <c r="G28"/>
  <c r="E28"/>
  <c r="O27"/>
  <c r="M26"/>
  <c r="K26"/>
  <c r="I26"/>
  <c r="G26"/>
  <c r="E26"/>
  <c r="O25"/>
  <c r="O30"/>
  <c r="M29"/>
  <c r="K29"/>
  <c r="O28"/>
  <c r="M27"/>
  <c r="K27"/>
  <c r="I27"/>
  <c r="G27"/>
  <c r="E27"/>
  <c r="O26"/>
  <c r="M25"/>
  <c r="K25"/>
  <c r="I25"/>
  <c r="G25"/>
  <c r="E25"/>
  <c r="K23"/>
  <c r="N19"/>
  <c r="M18" i="58"/>
  <c r="M17"/>
  <c r="M16"/>
  <c r="M15"/>
  <c r="M14"/>
  <c r="M13"/>
  <c r="M12"/>
  <c r="N18"/>
  <c r="N17"/>
  <c r="N14"/>
  <c r="N12"/>
  <c r="N16"/>
  <c r="N15"/>
  <c r="N13"/>
  <c r="O12"/>
  <c r="O18"/>
  <c r="O17"/>
  <c r="O16"/>
  <c r="O15"/>
  <c r="O14"/>
  <c r="O13"/>
  <c r="O23" i="63"/>
  <c r="O21"/>
  <c r="M20"/>
  <c r="O19"/>
  <c r="M19"/>
  <c r="D24" i="56"/>
  <c r="F23"/>
  <c r="F24"/>
  <c r="D23"/>
  <c r="E24"/>
  <c r="E23"/>
  <c r="E21"/>
  <c r="E20"/>
  <c r="E19"/>
  <c r="E18"/>
  <c r="E17"/>
  <c r="E16"/>
  <c r="F22"/>
  <c r="F21"/>
  <c r="D21"/>
  <c r="F20"/>
  <c r="D20"/>
  <c r="F19"/>
  <c r="D19"/>
  <c r="F18"/>
  <c r="D18"/>
  <c r="F17"/>
  <c r="D17"/>
  <c r="F16"/>
  <c r="D16"/>
  <c r="F15"/>
  <c r="D15"/>
  <c r="N38" i="63"/>
  <c r="N37"/>
  <c r="N36"/>
  <c r="N35"/>
  <c r="N34"/>
  <c r="N33"/>
  <c r="N32"/>
  <c r="N31"/>
  <c r="N30"/>
  <c r="N29"/>
  <c r="N28"/>
  <c r="N27"/>
  <c r="N26"/>
  <c r="N25"/>
  <c r="N23"/>
  <c r="N22"/>
  <c r="N21"/>
  <c r="N20"/>
  <c r="D3" i="61"/>
  <c r="E3" s="1"/>
  <c r="O24" i="63"/>
  <c r="O4"/>
  <c r="O5"/>
  <c r="O6"/>
  <c r="O7"/>
  <c r="O8"/>
  <c r="O9"/>
  <c r="O10"/>
  <c r="O11"/>
  <c r="O12"/>
  <c r="O13"/>
  <c r="O14"/>
  <c r="O15"/>
  <c r="O16"/>
  <c r="O17"/>
  <c r="O18"/>
  <c r="N24"/>
  <c r="N4"/>
  <c r="N5"/>
  <c r="N6"/>
  <c r="N7"/>
  <c r="N8"/>
  <c r="N9"/>
  <c r="N10"/>
  <c r="N11"/>
  <c r="N12"/>
  <c r="N13"/>
  <c r="N14"/>
  <c r="N15"/>
  <c r="N16"/>
  <c r="N17"/>
  <c r="N18"/>
  <c r="M24"/>
  <c r="D6" i="61"/>
  <c r="E6" s="1"/>
  <c r="M4" i="63"/>
  <c r="M5"/>
  <c r="M6"/>
  <c r="M7"/>
  <c r="M8"/>
  <c r="M9"/>
  <c r="M10"/>
  <c r="M11"/>
  <c r="M12"/>
  <c r="M13"/>
  <c r="M14"/>
  <c r="M15"/>
  <c r="M16"/>
  <c r="M17"/>
  <c r="M18"/>
  <c r="L24"/>
  <c r="L4"/>
  <c r="L5"/>
  <c r="L6"/>
  <c r="L7"/>
  <c r="L8"/>
  <c r="L9"/>
  <c r="L10"/>
  <c r="L11"/>
  <c r="L12"/>
  <c r="L13"/>
  <c r="L14"/>
  <c r="L15"/>
  <c r="L16"/>
  <c r="L17"/>
  <c r="L18"/>
  <c r="K24"/>
  <c r="K4"/>
  <c r="K5"/>
  <c r="K6"/>
  <c r="K7"/>
  <c r="K8"/>
  <c r="K9"/>
  <c r="K10"/>
  <c r="K11"/>
  <c r="K12"/>
  <c r="K13"/>
  <c r="K14"/>
  <c r="K15"/>
  <c r="K16"/>
  <c r="K17"/>
  <c r="K18"/>
  <c r="K19"/>
  <c r="J24"/>
  <c r="D5" i="61"/>
  <c r="E5" s="1"/>
  <c r="J4" i="63"/>
  <c r="J5"/>
  <c r="J6"/>
  <c r="J7"/>
  <c r="J8"/>
  <c r="J9"/>
  <c r="J10"/>
  <c r="J11"/>
  <c r="J12"/>
  <c r="J13"/>
  <c r="J14"/>
  <c r="J15"/>
  <c r="J16"/>
  <c r="J17"/>
  <c r="J18"/>
  <c r="J19"/>
  <c r="I24"/>
  <c r="I4"/>
  <c r="I5"/>
  <c r="I6"/>
  <c r="I7"/>
  <c r="I8"/>
  <c r="I9"/>
  <c r="I10"/>
  <c r="I11"/>
  <c r="I12"/>
  <c r="I13"/>
  <c r="I14"/>
  <c r="I15"/>
  <c r="I16"/>
  <c r="I17"/>
  <c r="I18"/>
  <c r="I19"/>
  <c r="H24"/>
  <c r="H4"/>
  <c r="H5"/>
  <c r="H6"/>
  <c r="H7"/>
  <c r="H8"/>
  <c r="H9"/>
  <c r="H10"/>
  <c r="H11"/>
  <c r="H12"/>
  <c r="H13"/>
  <c r="H14"/>
  <c r="H15"/>
  <c r="H16"/>
  <c r="H17"/>
  <c r="H18"/>
  <c r="H19"/>
  <c r="G24"/>
  <c r="D4" i="61"/>
  <c r="E4" s="1"/>
  <c r="G4" i="63"/>
  <c r="G5"/>
  <c r="G6"/>
  <c r="G7"/>
  <c r="G8"/>
  <c r="G9"/>
  <c r="G10"/>
  <c r="G11"/>
  <c r="G12"/>
  <c r="G13"/>
  <c r="G14"/>
  <c r="G15"/>
  <c r="G16"/>
  <c r="G17"/>
  <c r="G18"/>
  <c r="G19"/>
  <c r="F24"/>
  <c r="F4"/>
  <c r="F5"/>
  <c r="F6"/>
  <c r="F7"/>
  <c r="F8"/>
  <c r="F9"/>
  <c r="F10"/>
  <c r="F11"/>
  <c r="F12"/>
  <c r="F13"/>
  <c r="F14"/>
  <c r="F15"/>
  <c r="F16"/>
  <c r="F17"/>
  <c r="F18"/>
  <c r="F19"/>
  <c r="E24"/>
  <c r="E4"/>
  <c r="E5"/>
  <c r="E6"/>
  <c r="E7"/>
  <c r="E8"/>
  <c r="E9"/>
  <c r="E10"/>
  <c r="E11"/>
  <c r="E12"/>
  <c r="E13"/>
  <c r="E14"/>
  <c r="E15"/>
  <c r="E16"/>
  <c r="E17"/>
  <c r="E18"/>
  <c r="E19"/>
  <c r="D24"/>
  <c r="D4"/>
  <c r="D5"/>
  <c r="D6"/>
  <c r="D7"/>
  <c r="D8"/>
  <c r="D9"/>
  <c r="D10"/>
  <c r="D11"/>
  <c r="D12"/>
  <c r="D13"/>
  <c r="D14"/>
  <c r="D15"/>
  <c r="D16"/>
  <c r="D17"/>
  <c r="D18"/>
  <c r="D19"/>
  <c r="C34" i="75" l="1"/>
</calcChain>
</file>

<file path=xl/sharedStrings.xml><?xml version="1.0" encoding="utf-8"?>
<sst xmlns="http://schemas.openxmlformats.org/spreadsheetml/2006/main" count="953" uniqueCount="177">
  <si>
    <t>Total</t>
  </si>
  <si>
    <t>Construction</t>
  </si>
  <si>
    <t>Textiles</t>
  </si>
  <si>
    <t>Payments</t>
  </si>
  <si>
    <t>Refunds</t>
  </si>
  <si>
    <t>Number of vendors</t>
  </si>
  <si>
    <t>A :</t>
  </si>
  <si>
    <t>B :</t>
  </si>
  <si>
    <t>C :</t>
  </si>
  <si>
    <t>D :</t>
  </si>
  <si>
    <t xml:space="preserve">E : </t>
  </si>
  <si>
    <t xml:space="preserve">F : </t>
  </si>
  <si>
    <t xml:space="preserve">G : </t>
  </si>
  <si>
    <t>H :</t>
  </si>
  <si>
    <t>Individual</t>
  </si>
  <si>
    <t>Partnership</t>
  </si>
  <si>
    <t>Estate/Trust</t>
  </si>
  <si>
    <t>Club</t>
  </si>
  <si>
    <t xml:space="preserve">A: </t>
  </si>
  <si>
    <t xml:space="preserve">B: </t>
  </si>
  <si>
    <t>C:</t>
  </si>
  <si>
    <t>D:</t>
  </si>
  <si>
    <t>E:</t>
  </si>
  <si>
    <t>F:</t>
  </si>
  <si>
    <t>G:</t>
  </si>
  <si>
    <t>H:</t>
  </si>
  <si>
    <t>I:</t>
  </si>
  <si>
    <t>J:</t>
  </si>
  <si>
    <t>K:</t>
  </si>
  <si>
    <t>L:</t>
  </si>
  <si>
    <t>M:</t>
  </si>
  <si>
    <t>300 001 to 500 000</t>
  </si>
  <si>
    <t>5 000 001 to 10 000 000</t>
  </si>
  <si>
    <t>Association not for gain</t>
  </si>
  <si>
    <t>Monthly</t>
  </si>
  <si>
    <t>Bi-Monthly (Jan)</t>
  </si>
  <si>
    <t>Bi-Monthly (Feb)</t>
  </si>
  <si>
    <t>Annually</t>
  </si>
  <si>
    <t>2007/08</t>
  </si>
  <si>
    <t>Payments 
(R million)</t>
  </si>
  <si>
    <t>Refunds
(R million)</t>
  </si>
  <si>
    <t>Other</t>
  </si>
  <si>
    <r>
      <t>Other</t>
    </r>
    <r>
      <rPr>
        <vertAlign val="superscript"/>
        <sz val="8"/>
        <rFont val="Arial"/>
        <family val="2"/>
      </rPr>
      <t>1</t>
    </r>
  </si>
  <si>
    <t>Percentage of total</t>
  </si>
  <si>
    <t>Type of enterprise</t>
  </si>
  <si>
    <t>Turnover category</t>
  </si>
  <si>
    <r>
      <t>Registered</t>
    </r>
    <r>
      <rPr>
        <vertAlign val="superscript"/>
        <sz val="8"/>
        <color indexed="8"/>
        <rFont val="Arial"/>
        <family val="2"/>
      </rPr>
      <t>1</t>
    </r>
  </si>
  <si>
    <t>N:</t>
  </si>
  <si>
    <t>O:</t>
  </si>
  <si>
    <t>P:</t>
  </si>
  <si>
    <t>1 000 001 to 2 000 000</t>
  </si>
  <si>
    <t>10 000 001 to 14 000 000</t>
  </si>
  <si>
    <t>14 000 001 to 20 000 000</t>
  </si>
  <si>
    <t>20 000 001 to 30 000 000</t>
  </si>
  <si>
    <t>30 000 001 to 50 000 000</t>
  </si>
  <si>
    <t>100 001 to 200 000</t>
  </si>
  <si>
    <t>200 001 to 300 000</t>
  </si>
  <si>
    <t>2 000 001 to 3 000 000</t>
  </si>
  <si>
    <t>3 000 001 to 5 000 000</t>
  </si>
  <si>
    <t>1.  As per register as at 31 March of each year.</t>
  </si>
  <si>
    <t xml:space="preserve"> Excludes coded cases where status is in suspense, estate and address unknown.</t>
  </si>
  <si>
    <t>Agencies and other services</t>
  </si>
  <si>
    <t>Agriculture, forestry and fishing</t>
  </si>
  <si>
    <t>Catering and accommodation</t>
  </si>
  <si>
    <t>Clothing and footwear</t>
  </si>
  <si>
    <t>Educational services</t>
  </si>
  <si>
    <t>Food, drink and tobacco</t>
  </si>
  <si>
    <t>Machinery and related items</t>
  </si>
  <si>
    <t>Mining and quarrying</t>
  </si>
  <si>
    <t>Other manufacturing industries</t>
  </si>
  <si>
    <t>Paper, printing and publishing</t>
  </si>
  <si>
    <t>Personal and household services</t>
  </si>
  <si>
    <t>Research and scientific institutes</t>
  </si>
  <si>
    <t>Retail trade</t>
  </si>
  <si>
    <t>Scientific, optical and similar equipment</t>
  </si>
  <si>
    <t>Social and related community services</t>
  </si>
  <si>
    <t>Transport equipment</t>
  </si>
  <si>
    <t>Transport, storage and communications</t>
  </si>
  <si>
    <t>Wholesale trade</t>
  </si>
  <si>
    <t>500 001 to 700 000</t>
  </si>
  <si>
    <t>700 001 to 1 000 000</t>
  </si>
  <si>
    <t>1.  VAT exclusive.</t>
  </si>
  <si>
    <t>Bricks, ceramic, glass, cement and similar products</t>
  </si>
  <si>
    <t>Chemicals and chemical, rubber and plastic products</t>
  </si>
  <si>
    <t>Coal and petroleum products</t>
  </si>
  <si>
    <t>Electricity, gas and water</t>
  </si>
  <si>
    <t>Financing, insurance, real estate and business services</t>
  </si>
  <si>
    <t>Leather, leather goods and fur (excl. footwear and clothing)</t>
  </si>
  <si>
    <t>Medical, dental and other health and veterinary services</t>
  </si>
  <si>
    <t>Recreation and cultural services</t>
  </si>
  <si>
    <t>Specialised repair services</t>
  </si>
  <si>
    <t>Vehicles, parts and accessories</t>
  </si>
  <si>
    <t>Wood, wood products and furniture</t>
  </si>
  <si>
    <t>Sector</t>
  </si>
  <si>
    <t>1.  Includes where the sector was indicated as Other or where the sector was left blank on the return.</t>
  </si>
  <si>
    <t>Percentage of registered</t>
  </si>
  <si>
    <t>Active 
vendors</t>
  </si>
  <si>
    <t>Company/Close corporation</t>
  </si>
  <si>
    <t>Welfare organisation</t>
  </si>
  <si>
    <t>CONTENTS</t>
  </si>
  <si>
    <t>TABLES IN TEXT</t>
  </si>
  <si>
    <t>TABLES</t>
  </si>
  <si>
    <t>2008/09</t>
  </si>
  <si>
    <t>Public administration</t>
  </si>
  <si>
    <t>4-monthly</t>
  </si>
  <si>
    <t>6-monthly</t>
  </si>
  <si>
    <t>2009/10</t>
  </si>
  <si>
    <t>Fiscal year</t>
  </si>
  <si>
    <t>FIGURES</t>
  </si>
  <si>
    <r>
      <t>Payment category</t>
    </r>
    <r>
      <rPr>
        <vertAlign val="superscript"/>
        <sz val="8"/>
        <rFont val="Arial"/>
        <family val="2"/>
      </rPr>
      <t>1</t>
    </r>
  </si>
  <si>
    <t>2010/11</t>
  </si>
  <si>
    <t>Figure 4.1: Gross VAT payments by sector, 2010/11</t>
  </si>
  <si>
    <t>Table 4.1: Number of registered VAT vendors, 2007/08 – 2010/11</t>
  </si>
  <si>
    <t>Table A4.1.1: Domestic VAT: Payments and refunds by sector, 2007/08 – 2010/11</t>
  </si>
  <si>
    <t>Table A4.2.1: Domestic VAT: Payments and refunds by payment category, 2007/08 – 2010/11</t>
  </si>
  <si>
    <t>Table A4.2.2: Domestic VAT: Payments and refunds by sector (for vendors that submit returns bi-monthly in January), 2007/08 – 2010/11</t>
  </si>
  <si>
    <t>Table A4.2.3: Domestic VAT: Payments and refunds by sector (for vendors that submit returns bi-monthly in February), 2007/08 – 2010/11</t>
  </si>
  <si>
    <t>Table A4.2.4: Domestic VAT: Payments and refunds by sector (for vendors that submit returns monthly), 2007/08 – 2010/11</t>
  </si>
  <si>
    <t>Table A4.2.5: Domestic VAT: Payments and refunds by sector (for vendors that submit returns 4-monthly, 6-monthly and annually), 2007/08 – 2010/11</t>
  </si>
  <si>
    <t>Table A4.3.1: Domestic VAT: Payments and refunds by type of enterprise, 2007/08 – 2010/11</t>
  </si>
  <si>
    <t>Government/Local/Public authority</t>
  </si>
  <si>
    <t>Q:</t>
  </si>
  <si>
    <t>R:</t>
  </si>
  <si>
    <t>50 001 to 100 000</t>
  </si>
  <si>
    <t>1 to 50 000</t>
  </si>
  <si>
    <t>= 0</t>
  </si>
  <si>
    <t>50 000 001 to 100 000 000</t>
  </si>
  <si>
    <t>100 000 001 +</t>
  </si>
  <si>
    <r>
      <t>Turnover</t>
    </r>
    <r>
      <rPr>
        <b/>
        <sz val="8"/>
        <color indexed="8"/>
        <rFont val="ARIAL"/>
        <family val="2"/>
      </rPr>
      <t xml:space="preserve">
(R million)</t>
    </r>
  </si>
  <si>
    <t>Input 
(R million)</t>
  </si>
  <si>
    <t>Output 
(R million)</t>
  </si>
  <si>
    <t>Net
(R million)</t>
  </si>
  <si>
    <t>Financing, insurance, real estate &amp; business services</t>
  </si>
  <si>
    <t>Figure 4.1: VAT payments by sector, 2010/11</t>
  </si>
  <si>
    <t>Transport, storage &amp; communications</t>
  </si>
  <si>
    <t>Table A4.4.1: Domestic VAT: Net output/input VAT by sector, 2007/08 – 2010/11</t>
  </si>
  <si>
    <t>Table A4.4.2: Domestic VAT: Payments output/input VAT by sector, 2007/08 – 2010/11</t>
  </si>
  <si>
    <t>Table A4.4.3: Domestic VAT: Refunds output/input VAT by sector, 2007/08 – 2010/11</t>
  </si>
  <si>
    <t>From Table A4.1.1</t>
  </si>
  <si>
    <t>Metal (including metal products)</t>
  </si>
  <si>
    <r>
      <t xml:space="preserve">Table A4.1.1: Domestic VAT: Payments and refunds by sector, 2007/08 – 2010/11 </t>
    </r>
    <r>
      <rPr>
        <i/>
        <sz val="10"/>
        <rFont val="Arial"/>
        <family val="2"/>
      </rPr>
      <t>(continued)</t>
    </r>
  </si>
  <si>
    <t>From Table A4.2.1</t>
  </si>
  <si>
    <t>1.  Payment categories as per sec. 27(1) of the Value-Added Tax Act.</t>
  </si>
  <si>
    <t>Figure 4.2: VAT refunds by sector, 2010/11</t>
  </si>
  <si>
    <t>Figure 4.3: VAT vendors by payment category, 2007/08 – 2010/11</t>
  </si>
  <si>
    <t>Figure 4.3: VAT vendors by payment category, 2010/11</t>
  </si>
  <si>
    <t>Number
Fiscal year</t>
  </si>
  <si>
    <t>From Table A4.4.1</t>
  </si>
  <si>
    <t>VAT payments</t>
  </si>
  <si>
    <t>VAT refunds</t>
  </si>
  <si>
    <t>Output</t>
  </si>
  <si>
    <t>Input</t>
  </si>
  <si>
    <t>Net</t>
  </si>
  <si>
    <t>For each R1
Fiscal year</t>
  </si>
  <si>
    <t>VAT refunded there is input claimed of</t>
  </si>
  <si>
    <t>VAT refunded there is output declared of</t>
  </si>
  <si>
    <t>Table 4.2: Relationship between domestic VAT payments and VAT refunds, 2007/08 – 2010/11</t>
  </si>
  <si>
    <t>Domestic VAT payments there is input claimed of</t>
  </si>
  <si>
    <t>Domestic VAT payments there is output declared of</t>
  </si>
  <si>
    <t>Domestic VAT payments
 there is 
VAT refunds of</t>
  </si>
  <si>
    <t>Table 4.3: Output and Input VAT declared for each R1 domestic VAT collected and refunded, 2007/08 – 2010/11</t>
  </si>
  <si>
    <t>Net Domestic VAT payments</t>
  </si>
  <si>
    <t>Net VAT refunded</t>
  </si>
  <si>
    <t>Table 4.3: Output and Input VAT declared for each R1 domestic VAT collected and refunded, 
2007/08 – 2010/11</t>
  </si>
  <si>
    <t>From Table A4.4.1, A4.4.2 and A4.4.3</t>
  </si>
  <si>
    <t>Figure 4.4: Composition of Domestic VAT payments (output/input), 2007/08 – 2010/11</t>
  </si>
  <si>
    <r>
      <t>Table A4.6.1: Domestic VAT: Vendors per annualised turnover</t>
    </r>
    <r>
      <rPr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(payments and refunds), 2007/08 – 2010/11</t>
    </r>
  </si>
  <si>
    <t>Table A4.6.1: Domestic VAT: Vendors per annualised turnover (payments and refunds), 2007/08 – 2010/11</t>
  </si>
  <si>
    <t>Table A4.5.2: Domestic VAT: Output/input VAT declared and claimed for each R1 VAT refunded, 2007/08 – 2010/11</t>
  </si>
  <si>
    <t>Table A4.5.1: Domestic VAT: Output/input VAT declared and claimed for each R1 VAT collected, 2007/08 – 2010/11</t>
  </si>
  <si>
    <t>For each R1
Fiscal year</t>
  </si>
  <si>
    <t>For each R1
Sector</t>
  </si>
  <si>
    <t>For each R1
Sector</t>
  </si>
  <si>
    <t>All other sectors</t>
  </si>
  <si>
    <t>4-monthly, 6-monthly, annually</t>
  </si>
  <si>
    <t>Net VAT payments</t>
  </si>
  <si>
    <t>Net VAT refunds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</si>
</sst>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%"/>
    <numFmt numFmtId="165" formatCode="_(* #,##0_);_*\ \-#,##0_);_(* &quot;–&quot;_);_(@_)"/>
    <numFmt numFmtId="166" formatCode="_ * #,##0_ ;_ * \-#,##0_ ;_ * &quot;-&quot;??_ ;_ @_ "/>
    <numFmt numFmtId="167" formatCode="_ * #,##0.0%_ ;_ * \-#,##0.0%_ "/>
    <numFmt numFmtId="168" formatCode="0.0E+00"/>
    <numFmt numFmtId="169" formatCode="_(* #,##0.00_);_*\ \-#,##0.00_);_(* &quot;–&quot;_);_(@_)"/>
  </numFmts>
  <fonts count="42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name val="MS Sans Serif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S Sans Serif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B0F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9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0" fontId="38" fillId="0" borderId="0"/>
    <xf numFmtId="0" fontId="39" fillId="0" borderId="0"/>
    <xf numFmtId="0" fontId="1" fillId="0" borderId="0"/>
  </cellStyleXfs>
  <cellXfs count="247">
    <xf numFmtId="0" fontId="0" fillId="0" borderId="0" xfId="0"/>
    <xf numFmtId="0" fontId="4" fillId="0" borderId="10" xfId="40" applyFont="1" applyBorder="1" applyAlignment="1">
      <alignment horizontal="left"/>
    </xf>
    <xf numFmtId="0" fontId="5" fillId="0" borderId="10" xfId="40" applyFont="1" applyBorder="1" applyAlignment="1">
      <alignment horizontal="centerContinuous"/>
    </xf>
    <xf numFmtId="165" fontId="5" fillId="0" borderId="0" xfId="40" applyNumberFormat="1" applyFont="1" applyAlignment="1" applyProtection="1">
      <alignment horizontal="right" vertical="center"/>
      <protection locked="0"/>
    </xf>
    <xf numFmtId="165" fontId="5" fillId="0" borderId="0" xfId="40" applyNumberFormat="1" applyFont="1" applyFill="1" applyBorder="1" applyAlignment="1" applyProtection="1">
      <alignment horizontal="right" vertical="center"/>
      <protection locked="0"/>
    </xf>
    <xf numFmtId="0" fontId="5" fillId="0" borderId="0" xfId="40" applyFont="1" applyFill="1" applyBorder="1" applyAlignment="1" applyProtection="1">
      <alignment vertical="center"/>
      <protection locked="0"/>
    </xf>
    <xf numFmtId="0" fontId="5" fillId="0" borderId="0" xfId="40" applyFont="1" applyAlignment="1" applyProtection="1">
      <alignment vertical="center"/>
      <protection locked="0"/>
    </xf>
    <xf numFmtId="165" fontId="7" fillId="0" borderId="0" xfId="40" applyNumberFormat="1" applyFont="1" applyFill="1" applyBorder="1" applyAlignment="1" applyProtection="1">
      <alignment horizontal="right" vertical="center"/>
      <protection locked="0"/>
    </xf>
    <xf numFmtId="0" fontId="9" fillId="0" borderId="0" xfId="40" applyFont="1" applyFill="1" applyBorder="1" applyAlignment="1" applyProtection="1">
      <alignment vertical="top" wrapText="1"/>
    </xf>
    <xf numFmtId="0" fontId="10" fillId="0" borderId="0" xfId="40" applyFont="1" applyFill="1" applyBorder="1" applyAlignment="1" applyProtection="1">
      <alignment vertical="top" wrapText="1"/>
    </xf>
    <xf numFmtId="0" fontId="10" fillId="0" borderId="0" xfId="40" applyFont="1" applyFill="1" applyBorder="1" applyAlignment="1" applyProtection="1">
      <alignment horizontal="center" vertical="top" wrapText="1"/>
    </xf>
    <xf numFmtId="0" fontId="7" fillId="0" borderId="0" xfId="40" applyFont="1" applyFill="1" applyBorder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7" fillId="0" borderId="11" xfId="40" applyFont="1" applyBorder="1"/>
    <xf numFmtId="0" fontId="7" fillId="0" borderId="0" xfId="40" applyFont="1" applyBorder="1" applyAlignment="1">
      <alignment vertical="center"/>
    </xf>
    <xf numFmtId="165" fontId="7" fillId="0" borderId="12" xfId="40" applyNumberFormat="1" applyFont="1" applyFill="1" applyBorder="1" applyAlignment="1">
      <alignment horizontal="right" vertical="top"/>
    </xf>
    <xf numFmtId="165" fontId="7" fillId="0" borderId="0" xfId="40" applyNumberFormat="1" applyFont="1" applyFill="1" applyBorder="1" applyAlignment="1">
      <alignment horizontal="right" vertical="top"/>
    </xf>
    <xf numFmtId="165" fontId="7" fillId="0" borderId="13" xfId="40" applyNumberFormat="1" applyFont="1" applyFill="1" applyBorder="1" applyAlignment="1">
      <alignment horizontal="right" vertical="top"/>
    </xf>
    <xf numFmtId="0" fontId="10" fillId="0" borderId="0" xfId="40" applyFont="1" applyFill="1" applyBorder="1" applyAlignment="1" applyProtection="1">
      <alignment horizontal="right" vertical="top" wrapText="1"/>
    </xf>
    <xf numFmtId="0" fontId="10" fillId="0" borderId="0" xfId="40" applyFont="1" applyFill="1" applyBorder="1" applyProtection="1"/>
    <xf numFmtId="0" fontId="10" fillId="0" borderId="0" xfId="40" applyFont="1" applyFill="1" applyBorder="1" applyAlignment="1" applyProtection="1">
      <alignment horizontal="center"/>
      <protection locked="0"/>
    </xf>
    <xf numFmtId="0" fontId="7" fillId="0" borderId="0" xfId="40" quotePrefix="1" applyFont="1" applyBorder="1" applyAlignment="1">
      <alignment vertical="center"/>
    </xf>
    <xf numFmtId="0" fontId="10" fillId="0" borderId="0" xfId="40" applyFont="1" applyFill="1" applyBorder="1" applyProtection="1">
      <protection locked="0"/>
    </xf>
    <xf numFmtId="2" fontId="9" fillId="0" borderId="0" xfId="40" applyNumberFormat="1" applyFont="1" applyFill="1" applyBorder="1" applyProtection="1">
      <protection locked="0"/>
    </xf>
    <xf numFmtId="2" fontId="10" fillId="0" borderId="0" xfId="40" applyNumberFormat="1" applyFont="1" applyFill="1" applyBorder="1" applyProtection="1"/>
    <xf numFmtId="0" fontId="10" fillId="0" borderId="0" xfId="40" applyFont="1" applyFill="1" applyBorder="1" applyAlignment="1" applyProtection="1">
      <alignment horizontal="center"/>
    </xf>
    <xf numFmtId="2" fontId="10" fillId="0" borderId="0" xfId="40" applyNumberFormat="1" applyFont="1" applyFill="1" applyBorder="1" applyAlignment="1" applyProtection="1">
      <alignment horizontal="center"/>
      <protection locked="0"/>
    </xf>
    <xf numFmtId="0" fontId="2" fillId="0" borderId="11" xfId="40" applyBorder="1"/>
    <xf numFmtId="0" fontId="7" fillId="0" borderId="0" xfId="40" applyFont="1" applyFill="1" applyBorder="1" applyAlignment="1">
      <alignment vertical="center"/>
    </xf>
    <xf numFmtId="0" fontId="2" fillId="0" borderId="0" xfId="40"/>
    <xf numFmtId="0" fontId="7" fillId="0" borderId="0" xfId="40" applyFont="1" applyBorder="1"/>
    <xf numFmtId="0" fontId="2" fillId="0" borderId="11" xfId="40" applyFill="1" applyBorder="1"/>
    <xf numFmtId="0" fontId="7" fillId="0" borderId="0" xfId="40" applyFont="1" applyFill="1" applyBorder="1"/>
    <xf numFmtId="0" fontId="2" fillId="0" borderId="0" xfId="40" applyFill="1"/>
    <xf numFmtId="0" fontId="2" fillId="0" borderId="14" xfId="40" applyBorder="1"/>
    <xf numFmtId="0" fontId="6" fillId="0" borderId="15" xfId="40" applyFont="1" applyBorder="1"/>
    <xf numFmtId="0" fontId="2" fillId="0" borderId="15" xfId="40" applyBorder="1"/>
    <xf numFmtId="165" fontId="6" fillId="0" borderId="16" xfId="40" applyNumberFormat="1" applyFont="1" applyFill="1" applyBorder="1" applyAlignment="1">
      <alignment horizontal="right" vertical="top"/>
    </xf>
    <xf numFmtId="165" fontId="6" fillId="0" borderId="15" xfId="40" applyNumberFormat="1" applyFont="1" applyFill="1" applyBorder="1" applyAlignment="1">
      <alignment horizontal="right" vertical="top"/>
    </xf>
    <xf numFmtId="165" fontId="6" fillId="0" borderId="17" xfId="40" applyNumberFormat="1" applyFont="1" applyFill="1" applyBorder="1" applyAlignment="1">
      <alignment horizontal="right" vertical="top"/>
    </xf>
    <xf numFmtId="0" fontId="11" fillId="0" borderId="0" xfId="40" applyFont="1" applyBorder="1" applyAlignment="1">
      <alignment vertical="center"/>
    </xf>
    <xf numFmtId="165" fontId="11" fillId="0" borderId="0" xfId="40" applyNumberFormat="1" applyFont="1" applyFill="1" applyBorder="1" applyAlignment="1">
      <alignment horizontal="right" vertical="top"/>
    </xf>
    <xf numFmtId="164" fontId="11" fillId="0" borderId="0" xfId="43" applyNumberFormat="1" applyFont="1" applyFill="1" applyBorder="1" applyAlignment="1">
      <alignment horizontal="right" vertical="top"/>
    </xf>
    <xf numFmtId="0" fontId="7" fillId="0" borderId="0" xfId="40" applyFont="1" applyBorder="1" applyAlignment="1" applyProtection="1">
      <alignment vertical="center"/>
      <protection locked="0"/>
    </xf>
    <xf numFmtId="0" fontId="7" fillId="0" borderId="0" xfId="40" applyFont="1"/>
    <xf numFmtId="165" fontId="7" fillId="0" borderId="0" xfId="40" applyNumberFormat="1" applyFont="1" applyAlignment="1" applyProtection="1">
      <alignment horizontal="right" vertical="center"/>
      <protection locked="0"/>
    </xf>
    <xf numFmtId="0" fontId="12" fillId="0" borderId="0" xfId="40" applyFont="1"/>
    <xf numFmtId="0" fontId="4" fillId="0" borderId="10" xfId="39" applyFont="1" applyBorder="1" applyAlignment="1">
      <alignment horizontal="left"/>
    </xf>
    <xf numFmtId="0" fontId="5" fillId="0" borderId="10" xfId="39" applyFont="1" applyBorder="1" applyAlignment="1">
      <alignment horizontal="centerContinuous"/>
    </xf>
    <xf numFmtId="0" fontId="2" fillId="0" borderId="0" xfId="39"/>
    <xf numFmtId="0" fontId="7" fillId="0" borderId="0" xfId="39" quotePrefix="1" applyFont="1" applyBorder="1" applyAlignment="1">
      <alignment vertical="center"/>
    </xf>
    <xf numFmtId="0" fontId="7" fillId="0" borderId="10" xfId="39" quotePrefix="1" applyFont="1" applyBorder="1" applyAlignment="1">
      <alignment vertical="center"/>
    </xf>
    <xf numFmtId="0" fontId="7" fillId="0" borderId="0" xfId="39" applyFont="1"/>
    <xf numFmtId="165" fontId="7" fillId="0" borderId="0" xfId="39" applyNumberFormat="1" applyFont="1" applyFill="1" applyBorder="1" applyAlignment="1" applyProtection="1">
      <alignment horizontal="right" vertical="center"/>
      <protection locked="0"/>
    </xf>
    <xf numFmtId="0" fontId="7" fillId="0" borderId="0" xfId="39" applyFont="1" applyAlignment="1" applyProtection="1">
      <alignment vertical="center"/>
      <protection locked="0"/>
    </xf>
    <xf numFmtId="17" fontId="6" fillId="0" borderId="19" xfId="0" quotePrefix="1" applyNumberFormat="1" applyFont="1" applyBorder="1" applyAlignment="1">
      <alignment horizontal="centerContinuous" vertical="center"/>
    </xf>
    <xf numFmtId="0" fontId="6" fillId="0" borderId="20" xfId="0" applyFont="1" applyBorder="1" applyAlignment="1">
      <alignment horizontal="centerContinuous" vertical="center"/>
    </xf>
    <xf numFmtId="0" fontId="6" fillId="0" borderId="19" xfId="0" quotePrefix="1" applyFont="1" applyBorder="1" applyAlignment="1">
      <alignment horizontal="centerContinuous" vertical="center"/>
    </xf>
    <xf numFmtId="0" fontId="6" fillId="0" borderId="21" xfId="0" applyFont="1" applyBorder="1" applyAlignment="1">
      <alignment horizontal="centerContinuous" vertical="center"/>
    </xf>
    <xf numFmtId="0" fontId="7" fillId="0" borderId="22" xfId="0" applyFont="1" applyBorder="1"/>
    <xf numFmtId="2" fontId="8" fillId="0" borderId="23" xfId="0" applyNumberFormat="1" applyFont="1" applyBorder="1" applyAlignment="1">
      <alignment horizontal="center" vertical="top" wrapText="1"/>
    </xf>
    <xf numFmtId="2" fontId="8" fillId="0" borderId="24" xfId="0" applyNumberFormat="1" applyFont="1" applyBorder="1" applyAlignment="1">
      <alignment horizontal="center" vertical="top" wrapText="1"/>
    </xf>
    <xf numFmtId="2" fontId="8" fillId="0" borderId="25" xfId="0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2" fillId="0" borderId="14" xfId="40" applyFill="1" applyBorder="1"/>
    <xf numFmtId="0" fontId="6" fillId="0" borderId="15" xfId="40" applyFont="1" applyFill="1" applyBorder="1"/>
    <xf numFmtId="0" fontId="2" fillId="0" borderId="15" xfId="40" applyFill="1" applyBorder="1"/>
    <xf numFmtId="0" fontId="2" fillId="0" borderId="0" xfId="40" applyBorder="1"/>
    <xf numFmtId="0" fontId="6" fillId="0" borderId="0" xfId="40" applyFont="1" applyBorder="1"/>
    <xf numFmtId="165" fontId="6" fillId="0" borderId="0" xfId="40" applyNumberFormat="1" applyFont="1" applyFill="1" applyBorder="1" applyAlignment="1">
      <alignment horizontal="right" vertical="top"/>
    </xf>
    <xf numFmtId="165" fontId="7" fillId="0" borderId="0" xfId="4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>
      <alignment horizontal="left" vertical="center" indent="1"/>
    </xf>
    <xf numFmtId="0" fontId="7" fillId="0" borderId="26" xfId="39" applyFont="1" applyBorder="1" applyAlignment="1"/>
    <xf numFmtId="0" fontId="7" fillId="0" borderId="11" xfId="39" applyFont="1" applyBorder="1" applyAlignment="1"/>
    <xf numFmtId="0" fontId="7" fillId="0" borderId="28" xfId="39" applyFont="1" applyBorder="1" applyAlignment="1"/>
    <xf numFmtId="2" fontId="8" fillId="0" borderId="20" xfId="39" applyNumberFormat="1" applyFont="1" applyBorder="1" applyAlignment="1">
      <alignment horizontal="center" vertical="top" wrapText="1"/>
    </xf>
    <xf numFmtId="2" fontId="8" fillId="0" borderId="31" xfId="39" applyNumberFormat="1" applyFont="1" applyBorder="1" applyAlignment="1">
      <alignment horizontal="center" vertical="top" wrapText="1"/>
    </xf>
    <xf numFmtId="2" fontId="8" fillId="0" borderId="19" xfId="39" applyNumberFormat="1" applyFont="1" applyBorder="1" applyAlignment="1">
      <alignment horizontal="center" vertical="top" wrapText="1"/>
    </xf>
    <xf numFmtId="164" fontId="7" fillId="0" borderId="0" xfId="43" applyNumberFormat="1" applyFont="1" applyFill="1" applyBorder="1" applyAlignment="1" applyProtection="1">
      <alignment horizontal="right" vertical="center"/>
      <protection locked="0"/>
    </xf>
    <xf numFmtId="165" fontId="10" fillId="0" borderId="0" xfId="40" applyNumberFormat="1" applyFont="1" applyFill="1" applyBorder="1" applyProtection="1">
      <protection locked="0"/>
    </xf>
    <xf numFmtId="0" fontId="2" fillId="0" borderId="36" xfId="40" applyBorder="1"/>
    <xf numFmtId="0" fontId="6" fillId="0" borderId="34" xfId="40" applyFont="1" applyBorder="1"/>
    <xf numFmtId="0" fontId="2" fillId="0" borderId="34" xfId="40" applyBorder="1"/>
    <xf numFmtId="165" fontId="6" fillId="0" borderId="37" xfId="40" applyNumberFormat="1" applyFont="1" applyFill="1" applyBorder="1" applyAlignment="1">
      <alignment horizontal="right" vertical="top"/>
    </xf>
    <xf numFmtId="165" fontId="6" fillId="0" borderId="34" xfId="40" applyNumberFormat="1" applyFont="1" applyFill="1" applyBorder="1" applyAlignment="1">
      <alignment horizontal="right" vertical="top"/>
    </xf>
    <xf numFmtId="165" fontId="6" fillId="0" borderId="38" xfId="40" applyNumberFormat="1" applyFont="1" applyFill="1" applyBorder="1" applyAlignment="1">
      <alignment horizontal="right" vertical="top"/>
    </xf>
    <xf numFmtId="0" fontId="16" fillId="0" borderId="0" xfId="0" applyFont="1"/>
    <xf numFmtId="0" fontId="17" fillId="0" borderId="11" xfId="0" applyFont="1" applyBorder="1" applyAlignment="1">
      <alignment vertical="center"/>
    </xf>
    <xf numFmtId="0" fontId="18" fillId="0" borderId="13" xfId="34" applyFont="1" applyBorder="1"/>
    <xf numFmtId="0" fontId="18" fillId="0" borderId="13" xfId="34" applyFont="1" applyBorder="1" applyAlignment="1">
      <alignment horizontal="left" indent="2"/>
    </xf>
    <xf numFmtId="0" fontId="18" fillId="0" borderId="13" xfId="34" applyFont="1" applyBorder="1" applyAlignment="1">
      <alignment horizontal="left"/>
    </xf>
    <xf numFmtId="0" fontId="17" fillId="0" borderId="28" xfId="0" applyFont="1" applyBorder="1" applyAlignment="1">
      <alignment vertical="center"/>
    </xf>
    <xf numFmtId="167" fontId="7" fillId="0" borderId="12" xfId="43" applyNumberFormat="1" applyFont="1" applyFill="1" applyBorder="1" applyAlignment="1">
      <alignment horizontal="right" vertical="top"/>
    </xf>
    <xf numFmtId="167" fontId="7" fillId="0" borderId="0" xfId="43" applyNumberFormat="1" applyFont="1" applyFill="1" applyBorder="1" applyAlignment="1">
      <alignment horizontal="right" vertical="top"/>
    </xf>
    <xf numFmtId="167" fontId="7" fillId="0" borderId="13" xfId="43" applyNumberFormat="1" applyFont="1" applyFill="1" applyBorder="1" applyAlignment="1">
      <alignment horizontal="right" vertical="top"/>
    </xf>
    <xf numFmtId="167" fontId="6" fillId="0" borderId="16" xfId="43" applyNumberFormat="1" applyFont="1" applyFill="1" applyBorder="1" applyAlignment="1">
      <alignment horizontal="right" vertical="top"/>
    </xf>
    <xf numFmtId="167" fontId="6" fillId="0" borderId="15" xfId="43" applyNumberFormat="1" applyFont="1" applyFill="1" applyBorder="1" applyAlignment="1">
      <alignment horizontal="right" vertical="top"/>
    </xf>
    <xf numFmtId="167" fontId="6" fillId="0" borderId="17" xfId="43" applyNumberFormat="1" applyFont="1" applyFill="1" applyBorder="1" applyAlignment="1">
      <alignment horizontal="right" vertical="top"/>
    </xf>
    <xf numFmtId="43" fontId="2" fillId="0" borderId="0" xfId="47" applyFont="1"/>
    <xf numFmtId="166" fontId="2" fillId="0" borderId="0" xfId="47" applyNumberFormat="1" applyFont="1"/>
    <xf numFmtId="166" fontId="2" fillId="0" borderId="0" xfId="40" applyNumberFormat="1"/>
    <xf numFmtId="0" fontId="37" fillId="0" borderId="0" xfId="40" applyFont="1" applyFill="1"/>
    <xf numFmtId="43" fontId="2" fillId="0" borderId="0" xfId="40" applyNumberFormat="1"/>
    <xf numFmtId="3" fontId="7" fillId="0" borderId="12" xfId="38" applyNumberFormat="1" applyFont="1" applyFill="1" applyBorder="1" applyAlignment="1">
      <alignment horizontal="center" vertical="top"/>
    </xf>
    <xf numFmtId="168" fontId="2" fillId="0" borderId="0" xfId="40" applyNumberFormat="1"/>
    <xf numFmtId="0" fontId="7" fillId="0" borderId="43" xfId="0" applyFont="1" applyBorder="1"/>
    <xf numFmtId="2" fontId="8" fillId="0" borderId="46" xfId="0" applyNumberFormat="1" applyFont="1" applyBorder="1" applyAlignment="1">
      <alignment horizontal="center" vertical="top" wrapText="1"/>
    </xf>
    <xf numFmtId="2" fontId="8" fillId="0" borderId="44" xfId="0" applyNumberFormat="1" applyFont="1" applyBorder="1" applyAlignment="1">
      <alignment horizontal="center" vertical="top" wrapText="1"/>
    </xf>
    <xf numFmtId="2" fontId="8" fillId="0" borderId="47" xfId="0" applyNumberFormat="1" applyFont="1" applyBorder="1" applyAlignment="1">
      <alignment horizontal="center" vertical="top" wrapText="1"/>
    </xf>
    <xf numFmtId="3" fontId="7" fillId="0" borderId="33" xfId="38" applyNumberFormat="1" applyFont="1" applyFill="1" applyBorder="1" applyAlignment="1">
      <alignment horizontal="center" vertical="top"/>
    </xf>
    <xf numFmtId="164" fontId="7" fillId="0" borderId="29" xfId="43" applyNumberFormat="1" applyFont="1" applyFill="1" applyBorder="1" applyAlignment="1">
      <alignment horizontal="center" vertical="top"/>
    </xf>
    <xf numFmtId="164" fontId="7" fillId="0" borderId="32" xfId="43" applyNumberFormat="1" applyFont="1" applyFill="1" applyBorder="1" applyAlignment="1">
      <alignment horizontal="center" vertical="top"/>
    </xf>
    <xf numFmtId="0" fontId="4" fillId="0" borderId="0" xfId="48" applyFont="1" applyFill="1" applyBorder="1" applyAlignment="1">
      <alignment horizontal="left"/>
    </xf>
    <xf numFmtId="0" fontId="38" fillId="0" borderId="0" xfId="48" applyFill="1"/>
    <xf numFmtId="165" fontId="3" fillId="0" borderId="0" xfId="48" applyNumberFormat="1" applyFont="1" applyFill="1" applyAlignment="1" applyProtection="1">
      <alignment horizontal="right" vertical="center"/>
      <protection locked="0"/>
    </xf>
    <xf numFmtId="0" fontId="38" fillId="0" borderId="0" xfId="48"/>
    <xf numFmtId="0" fontId="3" fillId="0" borderId="0" xfId="48" applyFont="1"/>
    <xf numFmtId="165" fontId="3" fillId="0" borderId="0" xfId="48" applyNumberFormat="1" applyFont="1" applyAlignment="1" applyProtection="1">
      <alignment horizontal="right" vertical="center"/>
      <protection locked="0"/>
    </xf>
    <xf numFmtId="165" fontId="3" fillId="0" borderId="0" xfId="48" applyNumberFormat="1" applyFont="1" applyFill="1" applyBorder="1" applyAlignment="1" applyProtection="1">
      <alignment horizontal="right" vertical="center"/>
      <protection locked="0"/>
    </xf>
    <xf numFmtId="0" fontId="3" fillId="0" borderId="0" xfId="48" applyFont="1" applyAlignment="1" applyProtection="1">
      <alignment vertical="center"/>
      <protection locked="0"/>
    </xf>
    <xf numFmtId="0" fontId="4" fillId="0" borderId="11" xfId="0" applyFont="1" applyFill="1" applyBorder="1" applyAlignment="1">
      <alignment vertical="center"/>
    </xf>
    <xf numFmtId="0" fontId="18" fillId="0" borderId="13" xfId="34" applyFill="1" applyBorder="1" applyAlignment="1" applyProtection="1"/>
    <xf numFmtId="0" fontId="2" fillId="0" borderId="0" xfId="0" applyFont="1"/>
    <xf numFmtId="0" fontId="2" fillId="0" borderId="0" xfId="0" applyFont="1" applyFill="1"/>
    <xf numFmtId="0" fontId="38" fillId="0" borderId="18" xfId="48" applyBorder="1"/>
    <xf numFmtId="0" fontId="38" fillId="0" borderId="11" xfId="48" applyBorder="1"/>
    <xf numFmtId="0" fontId="3" fillId="0" borderId="11" xfId="48" applyFont="1" applyBorder="1"/>
    <xf numFmtId="0" fontId="3" fillId="0" borderId="35" xfId="48" applyFont="1" applyBorder="1"/>
    <xf numFmtId="0" fontId="6" fillId="0" borderId="51" xfId="0" quotePrefix="1" applyFont="1" applyBorder="1" applyAlignment="1">
      <alignment horizontal="centerContinuous" vertical="center"/>
    </xf>
    <xf numFmtId="165" fontId="3" fillId="0" borderId="13" xfId="48" applyNumberFormat="1" applyFont="1" applyBorder="1" applyAlignment="1" applyProtection="1">
      <alignment horizontal="right" vertical="center"/>
      <protection locked="0"/>
    </xf>
    <xf numFmtId="165" fontId="6" fillId="0" borderId="39" xfId="48" applyNumberFormat="1" applyFont="1" applyBorder="1" applyAlignment="1" applyProtection="1">
      <alignment horizontal="right" vertical="center"/>
      <protection locked="0"/>
    </xf>
    <xf numFmtId="0" fontId="4" fillId="24" borderId="35" xfId="0" applyFont="1" applyFill="1" applyBorder="1"/>
    <xf numFmtId="0" fontId="4" fillId="24" borderId="39" xfId="0" applyFont="1" applyFill="1" applyBorder="1"/>
    <xf numFmtId="0" fontId="6" fillId="0" borderId="21" xfId="0" quotePrefix="1" applyFont="1" applyBorder="1" applyAlignment="1">
      <alignment horizontal="centerContinuous" vertical="center"/>
    </xf>
    <xf numFmtId="2" fontId="8" fillId="0" borderId="52" xfId="0" applyNumberFormat="1" applyFont="1" applyBorder="1" applyAlignment="1">
      <alignment horizontal="center" vertical="top" wrapText="1"/>
    </xf>
    <xf numFmtId="165" fontId="3" fillId="0" borderId="53" xfId="48" applyNumberFormat="1" applyFont="1" applyBorder="1" applyAlignment="1" applyProtection="1">
      <alignment horizontal="right" vertical="center"/>
      <protection locked="0"/>
    </xf>
    <xf numFmtId="165" fontId="6" fillId="0" borderId="49" xfId="48" applyNumberFormat="1" applyFont="1" applyBorder="1" applyAlignment="1" applyProtection="1">
      <alignment horizontal="right" vertical="center"/>
      <protection locked="0"/>
    </xf>
    <xf numFmtId="2" fontId="8" fillId="0" borderId="54" xfId="0" applyNumberFormat="1" applyFont="1" applyBorder="1" applyAlignment="1">
      <alignment horizontal="center" vertical="top" wrapText="1"/>
    </xf>
    <xf numFmtId="0" fontId="7" fillId="0" borderId="11" xfId="40" applyFont="1" applyBorder="1" applyAlignment="1">
      <alignment vertical="center"/>
    </xf>
    <xf numFmtId="165" fontId="7" fillId="0" borderId="29" xfId="40" applyNumberFormat="1" applyFont="1" applyFill="1" applyBorder="1" applyAlignment="1">
      <alignment horizontal="right" vertical="top"/>
    </xf>
    <xf numFmtId="0" fontId="7" fillId="0" borderId="11" xfId="40" quotePrefix="1" applyFont="1" applyBorder="1" applyAlignment="1">
      <alignment vertical="center"/>
    </xf>
    <xf numFmtId="0" fontId="6" fillId="0" borderId="36" xfId="40" applyFont="1" applyBorder="1"/>
    <xf numFmtId="2" fontId="8" fillId="0" borderId="55" xfId="0" applyNumberFormat="1" applyFont="1" applyBorder="1" applyAlignment="1">
      <alignment horizontal="center" vertical="top" wrapText="1"/>
    </xf>
    <xf numFmtId="167" fontId="7" fillId="0" borderId="29" xfId="43" applyNumberFormat="1" applyFont="1" applyFill="1" applyBorder="1" applyAlignment="1">
      <alignment horizontal="right" vertical="top"/>
    </xf>
    <xf numFmtId="0" fontId="6" fillId="0" borderId="14" xfId="40" applyFont="1" applyBorder="1"/>
    <xf numFmtId="167" fontId="6" fillId="0" borderId="56" xfId="43" applyNumberFormat="1" applyFont="1" applyFill="1" applyBorder="1" applyAlignment="1">
      <alignment horizontal="right" vertical="top"/>
    </xf>
    <xf numFmtId="0" fontId="6" fillId="0" borderId="35" xfId="48" applyFont="1" applyBorder="1"/>
    <xf numFmtId="2" fontId="8" fillId="0" borderId="57" xfId="0" applyNumberFormat="1" applyFont="1" applyBorder="1" applyAlignment="1">
      <alignment horizontal="center" vertical="top" wrapText="1"/>
    </xf>
    <xf numFmtId="2" fontId="8" fillId="0" borderId="58" xfId="0" applyNumberFormat="1" applyFont="1" applyBorder="1" applyAlignment="1">
      <alignment horizontal="center" vertical="top" wrapText="1"/>
    </xf>
    <xf numFmtId="0" fontId="6" fillId="0" borderId="35" xfId="40" applyFont="1" applyBorder="1"/>
    <xf numFmtId="165" fontId="6" fillId="0" borderId="57" xfId="40" applyNumberFormat="1" applyFont="1" applyFill="1" applyBorder="1" applyAlignment="1">
      <alignment horizontal="right" vertical="top"/>
    </xf>
    <xf numFmtId="165" fontId="6" fillId="0" borderId="58" xfId="40" applyNumberFormat="1" applyFont="1" applyFill="1" applyBorder="1" applyAlignment="1">
      <alignment horizontal="right" vertical="top"/>
    </xf>
    <xf numFmtId="0" fontId="6" fillId="0" borderId="20" xfId="0" quotePrefix="1" applyFont="1" applyBorder="1" applyAlignment="1">
      <alignment horizontal="centerContinuous" vertical="center"/>
    </xf>
    <xf numFmtId="17" fontId="6" fillId="0" borderId="20" xfId="0" quotePrefix="1" applyNumberFormat="1" applyFont="1" applyBorder="1" applyAlignment="1">
      <alignment horizontal="centerContinuous" vertical="center"/>
    </xf>
    <xf numFmtId="0" fontId="18" fillId="0" borderId="40" xfId="34" applyBorder="1" applyAlignment="1">
      <alignment horizontal="left"/>
    </xf>
    <xf numFmtId="0" fontId="18" fillId="0" borderId="13" xfId="34" applyBorder="1" applyAlignment="1">
      <alignment horizontal="left"/>
    </xf>
    <xf numFmtId="0" fontId="18" fillId="0" borderId="13" xfId="34" applyBorder="1" applyAlignment="1">
      <alignment horizontal="left" indent="2"/>
    </xf>
    <xf numFmtId="165" fontId="3" fillId="0" borderId="13" xfId="40" applyNumberFormat="1" applyFont="1" applyFill="1" applyBorder="1" applyAlignment="1">
      <alignment horizontal="right" vertical="top"/>
    </xf>
    <xf numFmtId="0" fontId="6" fillId="0" borderId="49" xfId="0" quotePrefix="1" applyFont="1" applyBorder="1" applyAlignment="1">
      <alignment horizontal="centerContinuous" vertical="center"/>
    </xf>
    <xf numFmtId="0" fontId="6" fillId="0" borderId="39" xfId="0" quotePrefix="1" applyFont="1" applyBorder="1" applyAlignment="1">
      <alignment horizontal="centerContinuous" vertical="center"/>
    </xf>
    <xf numFmtId="0" fontId="38" fillId="0" borderId="39" xfId="48" applyBorder="1"/>
    <xf numFmtId="17" fontId="6" fillId="0" borderId="42" xfId="0" quotePrefix="1" applyNumberFormat="1" applyFont="1" applyBorder="1" applyAlignment="1">
      <alignment horizontal="centerContinuous" vertical="center"/>
    </xf>
    <xf numFmtId="0" fontId="6" fillId="0" borderId="57" xfId="0" quotePrefix="1" applyFont="1" applyBorder="1" applyAlignment="1">
      <alignment horizontal="centerContinuous" vertical="center"/>
    </xf>
    <xf numFmtId="0" fontId="6" fillId="0" borderId="58" xfId="0" quotePrefix="1" applyFont="1" applyBorder="1" applyAlignment="1">
      <alignment horizontal="centerContinuous" vertical="center"/>
    </xf>
    <xf numFmtId="0" fontId="6" fillId="0" borderId="20" xfId="39" applyFont="1" applyBorder="1" applyAlignment="1">
      <alignment horizontal="left" wrapText="1"/>
    </xf>
    <xf numFmtId="4" fontId="7" fillId="0" borderId="0" xfId="38" applyNumberFormat="1" applyFont="1" applyFill="1" applyBorder="1" applyAlignment="1">
      <alignment horizontal="center" vertical="top"/>
    </xf>
    <xf numFmtId="4" fontId="7" fillId="0" borderId="10" xfId="38" applyNumberFormat="1" applyFont="1" applyFill="1" applyBorder="1" applyAlignment="1">
      <alignment horizontal="center" vertical="top"/>
    </xf>
    <xf numFmtId="2" fontId="8" fillId="0" borderId="21" xfId="39" applyNumberFormat="1" applyFont="1" applyBorder="1" applyAlignment="1">
      <alignment horizontal="center" vertical="top" wrapText="1"/>
    </xf>
    <xf numFmtId="4" fontId="7" fillId="0" borderId="13" xfId="38" applyNumberFormat="1" applyFont="1" applyFill="1" applyBorder="1" applyAlignment="1">
      <alignment horizontal="center" vertical="top"/>
    </xf>
    <xf numFmtId="4" fontId="7" fillId="0" borderId="40" xfId="38" applyNumberFormat="1" applyFont="1" applyFill="1" applyBorder="1" applyAlignment="1">
      <alignment horizontal="center" vertical="top"/>
    </xf>
    <xf numFmtId="2" fontId="8" fillId="0" borderId="27" xfId="39" applyNumberFormat="1" applyFont="1" applyBorder="1" applyAlignment="1">
      <alignment horizontal="center" vertical="top" wrapText="1"/>
    </xf>
    <xf numFmtId="4" fontId="7" fillId="0" borderId="12" xfId="38" applyNumberFormat="1" applyFont="1" applyFill="1" applyBorder="1" applyAlignment="1">
      <alignment horizontal="center" vertical="top"/>
    </xf>
    <xf numFmtId="4" fontId="7" fillId="0" borderId="60" xfId="38" applyNumberFormat="1" applyFont="1" applyFill="1" applyBorder="1" applyAlignment="1">
      <alignment horizontal="center" vertical="top"/>
    </xf>
    <xf numFmtId="4" fontId="7" fillId="0" borderId="33" xfId="38" applyNumberFormat="1" applyFont="1" applyFill="1" applyBorder="1" applyAlignment="1">
      <alignment horizontal="center" vertical="top"/>
    </xf>
    <xf numFmtId="4" fontId="7" fillId="0" borderId="61" xfId="38" applyNumberFormat="1" applyFont="1" applyFill="1" applyBorder="1" applyAlignment="1">
      <alignment horizontal="center" vertical="top"/>
    </xf>
    <xf numFmtId="0" fontId="6" fillId="0" borderId="35" xfId="48" applyFont="1" applyFill="1" applyBorder="1"/>
    <xf numFmtId="0" fontId="3" fillId="0" borderId="42" xfId="39" applyFont="1" applyFill="1" applyBorder="1"/>
    <xf numFmtId="0" fontId="3" fillId="0" borderId="39" xfId="39" applyFont="1" applyFill="1" applyBorder="1"/>
    <xf numFmtId="0" fontId="6" fillId="0" borderId="35" xfId="0" applyFont="1" applyFill="1" applyBorder="1" applyAlignment="1">
      <alignment horizontal="left" vertical="top" wrapText="1"/>
    </xf>
    <xf numFmtId="17" fontId="6" fillId="0" borderId="35" xfId="0" applyNumberFormat="1" applyFont="1" applyFill="1" applyBorder="1" applyAlignment="1">
      <alignment horizontal="center" vertical="center"/>
    </xf>
    <xf numFmtId="17" fontId="6" fillId="0" borderId="42" xfId="0" applyNumberFormat="1" applyFont="1" applyFill="1" applyBorder="1" applyAlignment="1">
      <alignment horizontal="center" vertical="center"/>
    </xf>
    <xf numFmtId="0" fontId="3" fillId="0" borderId="11" xfId="39" quotePrefix="1" applyFont="1" applyFill="1" applyBorder="1" applyAlignment="1">
      <alignment vertical="center"/>
    </xf>
    <xf numFmtId="165" fontId="3" fillId="0" borderId="11" xfId="40" applyNumberFormat="1" applyFont="1" applyFill="1" applyBorder="1" applyAlignment="1">
      <alignment horizontal="right" vertical="top"/>
    </xf>
    <xf numFmtId="165" fontId="3" fillId="0" borderId="0" xfId="40" applyNumberFormat="1" applyFont="1" applyFill="1" applyBorder="1" applyAlignment="1">
      <alignment horizontal="right" vertical="top"/>
    </xf>
    <xf numFmtId="0" fontId="3" fillId="0" borderId="28" xfId="39" quotePrefix="1" applyFont="1" applyFill="1" applyBorder="1" applyAlignment="1">
      <alignment vertical="center"/>
    </xf>
    <xf numFmtId="165" fontId="3" fillId="0" borderId="28" xfId="40" applyNumberFormat="1" applyFont="1" applyFill="1" applyBorder="1" applyAlignment="1">
      <alignment horizontal="right" vertical="top"/>
    </xf>
    <xf numFmtId="165" fontId="3" fillId="0" borderId="10" xfId="40" applyNumberFormat="1" applyFont="1" applyFill="1" applyBorder="1" applyAlignment="1">
      <alignment horizontal="right" vertical="top"/>
    </xf>
    <xf numFmtId="165" fontId="3" fillId="0" borderId="40" xfId="40" applyNumberFormat="1" applyFont="1" applyFill="1" applyBorder="1" applyAlignment="1">
      <alignment horizontal="right" vertical="top"/>
    </xf>
    <xf numFmtId="0" fontId="6" fillId="0" borderId="49" xfId="48" applyFont="1" applyFill="1" applyBorder="1"/>
    <xf numFmtId="0" fontId="6" fillId="0" borderId="49" xfId="0" applyFont="1" applyFill="1" applyBorder="1" applyAlignment="1">
      <alignment horizontal="left" vertical="top" wrapText="1"/>
    </xf>
    <xf numFmtId="0" fontId="3" fillId="0" borderId="53" xfId="39" quotePrefix="1" applyFont="1" applyFill="1" applyBorder="1" applyAlignment="1">
      <alignment vertical="center"/>
    </xf>
    <xf numFmtId="0" fontId="3" fillId="0" borderId="48" xfId="39" quotePrefix="1" applyFont="1" applyFill="1" applyBorder="1" applyAlignment="1">
      <alignment vertical="center"/>
    </xf>
    <xf numFmtId="2" fontId="8" fillId="0" borderId="59" xfId="39" applyNumberFormat="1" applyFont="1" applyBorder="1" applyAlignment="1">
      <alignment horizontal="center" vertical="top" wrapText="1"/>
    </xf>
    <xf numFmtId="3" fontId="7" fillId="0" borderId="30" xfId="38" applyNumberFormat="1" applyFont="1" applyFill="1" applyBorder="1" applyAlignment="1">
      <alignment horizontal="center" vertical="top"/>
    </xf>
    <xf numFmtId="3" fontId="7" fillId="0" borderId="62" xfId="38" applyNumberFormat="1" applyFont="1" applyFill="1" applyBorder="1" applyAlignment="1">
      <alignment horizontal="center" vertical="top"/>
    </xf>
    <xf numFmtId="0" fontId="18" fillId="0" borderId="13" xfId="34" applyBorder="1"/>
    <xf numFmtId="4" fontId="7" fillId="0" borderId="29" xfId="38" applyNumberFormat="1" applyFont="1" applyFill="1" applyBorder="1" applyAlignment="1">
      <alignment horizontal="center" vertical="top"/>
    </xf>
    <xf numFmtId="4" fontId="7" fillId="0" borderId="32" xfId="38" applyNumberFormat="1" applyFont="1" applyFill="1" applyBorder="1" applyAlignment="1">
      <alignment horizontal="center" vertical="top"/>
    </xf>
    <xf numFmtId="0" fontId="3" fillId="0" borderId="0" xfId="40" applyFont="1"/>
    <xf numFmtId="165" fontId="2" fillId="0" borderId="0" xfId="40" applyNumberFormat="1"/>
    <xf numFmtId="169" fontId="7" fillId="0" borderId="12" xfId="40" applyNumberFormat="1" applyFont="1" applyFill="1" applyBorder="1" applyAlignment="1">
      <alignment horizontal="right" vertical="top"/>
    </xf>
    <xf numFmtId="169" fontId="7" fillId="0" borderId="0" xfId="40" applyNumberFormat="1" applyFont="1" applyFill="1" applyBorder="1" applyAlignment="1">
      <alignment horizontal="right" vertical="top"/>
    </xf>
    <xf numFmtId="169" fontId="7" fillId="0" borderId="13" xfId="40" applyNumberFormat="1" applyFont="1" applyFill="1" applyBorder="1" applyAlignment="1">
      <alignment horizontal="right" vertical="top"/>
    </xf>
    <xf numFmtId="169" fontId="6" fillId="0" borderId="16" xfId="40" applyNumberFormat="1" applyFont="1" applyFill="1" applyBorder="1" applyAlignment="1">
      <alignment horizontal="right" vertical="top"/>
    </xf>
    <xf numFmtId="169" fontId="6" fillId="0" borderId="15" xfId="40" applyNumberFormat="1" applyFont="1" applyFill="1" applyBorder="1" applyAlignment="1">
      <alignment horizontal="right" vertical="top"/>
    </xf>
    <xf numFmtId="169" fontId="6" fillId="0" borderId="17" xfId="40" applyNumberFormat="1" applyFont="1" applyFill="1" applyBorder="1" applyAlignment="1">
      <alignment horizontal="right" vertical="top"/>
    </xf>
    <xf numFmtId="165" fontId="12" fillId="0" borderId="12" xfId="40" applyNumberFormat="1" applyFont="1" applyFill="1" applyBorder="1" applyAlignment="1">
      <alignment horizontal="right" vertical="top"/>
    </xf>
    <xf numFmtId="165" fontId="12" fillId="0" borderId="29" xfId="40" applyNumberFormat="1" applyFont="1" applyFill="1" applyBorder="1" applyAlignment="1">
      <alignment horizontal="right" vertical="top"/>
    </xf>
    <xf numFmtId="0" fontId="2" fillId="0" borderId="24" xfId="40" applyBorder="1"/>
    <xf numFmtId="165" fontId="6" fillId="0" borderId="23" xfId="40" applyNumberFormat="1" applyFont="1" applyFill="1" applyBorder="1" applyAlignment="1">
      <alignment horizontal="right" vertical="top"/>
    </xf>
    <xf numFmtId="165" fontId="6" fillId="0" borderId="54" xfId="40" applyNumberFormat="1" applyFont="1" applyFill="1" applyBorder="1" applyAlignment="1">
      <alignment horizontal="right" vertical="top"/>
    </xf>
    <xf numFmtId="0" fontId="12" fillId="0" borderId="18" xfId="40" applyFont="1" applyBorder="1" applyAlignment="1">
      <alignment vertical="center"/>
    </xf>
    <xf numFmtId="165" fontId="12" fillId="0" borderId="63" xfId="40" applyNumberFormat="1" applyFont="1" applyFill="1" applyBorder="1" applyAlignment="1">
      <alignment horizontal="right" vertical="top"/>
    </xf>
    <xf numFmtId="165" fontId="12" fillId="0" borderId="64" xfId="40" applyNumberFormat="1" applyFont="1" applyFill="1" applyBorder="1" applyAlignment="1">
      <alignment horizontal="right" vertical="top"/>
    </xf>
    <xf numFmtId="0" fontId="12" fillId="0" borderId="11" xfId="40" applyFont="1" applyBorder="1" applyAlignment="1">
      <alignment vertical="center"/>
    </xf>
    <xf numFmtId="0" fontId="12" fillId="0" borderId="28" xfId="40" applyFont="1" applyBorder="1" applyAlignment="1">
      <alignment vertical="center"/>
    </xf>
    <xf numFmtId="165" fontId="12" fillId="0" borderId="33" xfId="40" applyNumberFormat="1" applyFont="1" applyFill="1" applyBorder="1" applyAlignment="1">
      <alignment horizontal="right" vertical="top"/>
    </xf>
    <xf numFmtId="165" fontId="12" fillId="0" borderId="32" xfId="40" applyNumberFormat="1" applyFont="1" applyFill="1" applyBorder="1" applyAlignment="1">
      <alignment horizontal="right" vertical="top"/>
    </xf>
    <xf numFmtId="17" fontId="6" fillId="0" borderId="39" xfId="0" applyNumberFormat="1" applyFont="1" applyFill="1" applyBorder="1" applyAlignment="1">
      <alignment horizontal="center" vertical="center" wrapText="1"/>
    </xf>
    <xf numFmtId="17" fontId="6" fillId="0" borderId="35" xfId="0" applyNumberFormat="1" applyFont="1" applyFill="1" applyBorder="1" applyAlignment="1">
      <alignment horizontal="center" vertical="center"/>
    </xf>
    <xf numFmtId="17" fontId="6" fillId="0" borderId="42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17" fontId="6" fillId="0" borderId="35" xfId="0" applyNumberFormat="1" applyFont="1" applyFill="1" applyBorder="1" applyAlignment="1">
      <alignment horizontal="center" vertical="center"/>
    </xf>
    <xf numFmtId="17" fontId="6" fillId="0" borderId="42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17" fontId="6" fillId="0" borderId="35" xfId="0" applyNumberFormat="1" applyFont="1" applyFill="1" applyBorder="1" applyAlignment="1">
      <alignment horizontal="center" vertical="center"/>
    </xf>
    <xf numFmtId="17" fontId="6" fillId="0" borderId="42" xfId="0" applyNumberFormat="1" applyFont="1" applyFill="1" applyBorder="1" applyAlignment="1">
      <alignment horizontal="center" vertical="center"/>
    </xf>
    <xf numFmtId="17" fontId="6" fillId="0" borderId="3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10" xfId="39" applyFont="1" applyBorder="1" applyAlignment="1">
      <alignment horizontal="left" wrapText="1"/>
    </xf>
    <xf numFmtId="0" fontId="6" fillId="0" borderId="22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35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wrapText="1"/>
    </xf>
    <xf numFmtId="0" fontId="6" fillId="0" borderId="41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34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8"/>
    <cellStyle name="Normal 2 2" xfId="49"/>
    <cellStyle name="Normal 2 3" xfId="50"/>
    <cellStyle name="Normal_1. Tax revenue - 30 May 2008" xfId="38"/>
    <cellStyle name="Normal_2. PIT - 30 May 2008" xfId="39"/>
    <cellStyle name="Normal_2. PIT - Jan 2008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FFF99"/>
      <color rgb="FF99CCFF"/>
      <color rgb="FF993300"/>
      <color rgb="FFE6B9B8"/>
      <color rgb="FF004F87"/>
      <color rgb="FF8EB4E3"/>
      <color rgb="FF7F7F7F"/>
      <color rgb="FFBFBFB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ZA"/>
              <a:t>R millions</a:t>
            </a:r>
          </a:p>
        </c:rich>
      </c:tx>
      <c:layout>
        <c:manualLayout>
          <c:xMode val="edge"/>
          <c:yMode val="edge"/>
          <c:x val="2.6490247542586779E-2"/>
          <c:y val="2.9223744292237428E-2"/>
        </c:manualLayout>
      </c:layout>
    </c:title>
    <c:plotArea>
      <c:layout>
        <c:manualLayout>
          <c:layoutTarget val="inner"/>
          <c:xMode val="edge"/>
          <c:yMode val="edge"/>
          <c:x val="0.22072195521014418"/>
          <c:y val="0.14458234908136613"/>
          <c:w val="0.5045301155537375"/>
          <c:h val="0.7284153543307087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933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4F8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7F7F7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0.12409812409812412"/>
                  <c:y val="0.1125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3.1746031746031744E-2"/>
                  <c:y val="-2.5000000000000001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3.4632034632034535E-2"/>
                  <c:y val="-8.3333333333333766E-3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2.3088023088022991E-2"/>
                  <c:y val="-4.1666666666666683E-3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6.3492063492063502E-2"/>
                  <c:y val="-1.6666666666666701E-2"/>
                </c:manualLayout>
              </c:layout>
              <c:dLblPos val="bestFit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10389610389610379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8.6580086580087048E-3"/>
                  <c:y val="4.1666666666666683E-3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-5.1948051948051917E-2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'Fig 4.1'!$B$26:$B$33</c:f>
              <c:strCache>
                <c:ptCount val="8"/>
                <c:pt idx="0">
                  <c:v>Financing, insurance, real estate &amp; business services</c:v>
                </c:pt>
                <c:pt idx="1">
                  <c:v>Agencies and other services</c:v>
                </c:pt>
                <c:pt idx="2">
                  <c:v>Retail trade</c:v>
                </c:pt>
                <c:pt idx="3">
                  <c:v>Construction</c:v>
                </c:pt>
                <c:pt idx="4">
                  <c:v>Transport, storage &amp; communications</c:v>
                </c:pt>
                <c:pt idx="5">
                  <c:v>Wholesale trade</c:v>
                </c:pt>
                <c:pt idx="6">
                  <c:v>Agriculture, forestry and fishing</c:v>
                </c:pt>
                <c:pt idx="7">
                  <c:v>All other sectors</c:v>
                </c:pt>
              </c:strCache>
            </c:strRef>
          </c:cat>
          <c:val>
            <c:numRef>
              <c:f>'Fig 4.1'!$D$26:$D$33</c:f>
              <c:numCache>
                <c:formatCode>_(* #,##0_);_*\ \-#,##0_);_(* "–"_);_(@_)</c:formatCode>
                <c:ptCount val="8"/>
                <c:pt idx="0">
                  <c:v>65998</c:v>
                </c:pt>
                <c:pt idx="1">
                  <c:v>16988</c:v>
                </c:pt>
                <c:pt idx="2">
                  <c:v>13178</c:v>
                </c:pt>
                <c:pt idx="3">
                  <c:v>13054</c:v>
                </c:pt>
                <c:pt idx="4">
                  <c:v>12493</c:v>
                </c:pt>
                <c:pt idx="5">
                  <c:v>9897</c:v>
                </c:pt>
                <c:pt idx="6">
                  <c:v>9725</c:v>
                </c:pt>
                <c:pt idx="7">
                  <c:v>64133</c:v>
                </c:pt>
              </c:numCache>
            </c:numRef>
          </c:val>
        </c:ser>
        <c:firstSliceAng val="270"/>
      </c:pieChart>
    </c:plotArea>
    <c:plotVisOnly val="1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ZA"/>
              <a:t>R millions</a:t>
            </a:r>
          </a:p>
        </c:rich>
      </c:tx>
      <c:layout>
        <c:manualLayout>
          <c:xMode val="edge"/>
          <c:yMode val="edge"/>
          <c:x val="2.6490247542586793E-2"/>
          <c:y val="2.9223744292237428E-2"/>
        </c:manualLayout>
      </c:layout>
    </c:title>
    <c:plotArea>
      <c:layout>
        <c:manualLayout>
          <c:layoutTarget val="inner"/>
          <c:xMode val="edge"/>
          <c:yMode val="edge"/>
          <c:x val="0.14661656446957139"/>
          <c:y val="0.14150000000000001"/>
          <c:w val="0.54606399176954656"/>
          <c:h val="0.76334692410024052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933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4F8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7F7F7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spPr>
              <a:solidFill>
                <a:schemeClr val="bg1">
                  <a:lumMod val="85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1.4461315979754157E-2"/>
                  <c:y val="1.2500000000000001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6.9414316702819973E-2"/>
                  <c:y val="8.3333333333333367E-3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3.4707158351409986E-2"/>
                  <c:y val="-2.9166666666666667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5.4953000723065713E-2"/>
                  <c:y val="-0.05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8.9660159074475776E-2"/>
                  <c:y val="-4.9999999999999933E-2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0.13304410701373826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1.7353579175704993E-2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dLbl>
              <c:idx val="7"/>
              <c:layout>
                <c:manualLayout>
                  <c:x val="-2.0245842371656025E-2"/>
                  <c:y val="0"/>
                </c:manualLayout>
              </c:layout>
              <c:dLblPos val="outEnd"/>
              <c:showVal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dLblPos val="outEnd"/>
            <c:showVal val="1"/>
            <c:showCatName val="1"/>
            <c:showPercent val="1"/>
            <c:separator>
</c:separator>
            <c:showLeaderLines val="1"/>
          </c:dLbls>
          <c:cat>
            <c:strRef>
              <c:f>'Fig 4.2'!$B$26:$B$33</c:f>
              <c:strCache>
                <c:ptCount val="8"/>
                <c:pt idx="0">
                  <c:v>Mining and quarrying</c:v>
                </c:pt>
                <c:pt idx="1">
                  <c:v>Financing, insurance, real estate &amp; business services</c:v>
                </c:pt>
                <c:pt idx="2">
                  <c:v>Agriculture, forestry and fishing</c:v>
                </c:pt>
                <c:pt idx="3">
                  <c:v>Vehicles, parts and accessories</c:v>
                </c:pt>
                <c:pt idx="4">
                  <c:v>Agencies and other services</c:v>
                </c:pt>
                <c:pt idx="5">
                  <c:v>Wholesale trade</c:v>
                </c:pt>
                <c:pt idx="6">
                  <c:v>Transport, storage &amp; communications</c:v>
                </c:pt>
                <c:pt idx="7">
                  <c:v>All other sectors</c:v>
                </c:pt>
              </c:strCache>
            </c:strRef>
          </c:cat>
          <c:val>
            <c:numRef>
              <c:f>'Fig 4.2'!$D$26:$D$33</c:f>
              <c:numCache>
                <c:formatCode>_(* #,##0_);_*\ \-#,##0_);_(* "–"_);_(@_)</c:formatCode>
                <c:ptCount val="8"/>
                <c:pt idx="0">
                  <c:v>22410</c:v>
                </c:pt>
                <c:pt idx="1">
                  <c:v>14791</c:v>
                </c:pt>
                <c:pt idx="2">
                  <c:v>8546</c:v>
                </c:pt>
                <c:pt idx="3">
                  <c:v>7643</c:v>
                </c:pt>
                <c:pt idx="4">
                  <c:v>7413</c:v>
                </c:pt>
                <c:pt idx="5">
                  <c:v>5066</c:v>
                </c:pt>
                <c:pt idx="6">
                  <c:v>4672</c:v>
                </c:pt>
                <c:pt idx="7">
                  <c:v>32586</c:v>
                </c:pt>
              </c:numCache>
            </c:numRef>
          </c:val>
        </c:ser>
        <c:firstSliceAng val="270"/>
      </c:pieChart>
    </c:plotArea>
    <c:plotVisOnly val="1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/>
          <a:lstStyle/>
          <a:p>
            <a:pPr>
              <a:defRPr/>
            </a:pPr>
            <a:r>
              <a:rPr lang="en-ZA"/>
              <a:t>R millions</a:t>
            </a:r>
          </a:p>
        </c:rich>
      </c:tx>
      <c:layout>
        <c:manualLayout>
          <c:xMode val="edge"/>
          <c:yMode val="edge"/>
          <c:x val="2.6490247542586807E-2"/>
          <c:y val="2.9223744292237428E-2"/>
        </c:manualLayout>
      </c:layout>
    </c:title>
    <c:plotArea>
      <c:layout>
        <c:manualLayout>
          <c:layoutTarget val="inner"/>
          <c:xMode val="edge"/>
          <c:yMode val="edge"/>
          <c:x val="0.20966562476870435"/>
          <c:y val="0.14150000000000001"/>
          <c:w val="0.54606399176954656"/>
          <c:h val="0.76334692410024052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9933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E6B9B8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933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4F87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8EB4E3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1"/>
              <c:layout>
                <c:manualLayout>
                  <c:x val="3.759942154736081E-2"/>
                  <c:y val="0"/>
                </c:manualLayout>
              </c:layout>
              <c:dLblPos val="bestFit"/>
              <c:showVal val="1"/>
              <c:showCatName val="1"/>
              <c:separator>
</c:separator>
            </c:dLbl>
            <c:dLbl>
              <c:idx val="2"/>
              <c:layout>
                <c:manualLayout>
                  <c:x val="-1.7353579175704993E-2"/>
                  <c:y val="-2.5000000000000001E-2"/>
                </c:manualLayout>
              </c:layout>
              <c:dLblPos val="bestFit"/>
              <c:showVal val="1"/>
              <c:showCatName val="1"/>
              <c:separator>
</c:separator>
            </c:dLbl>
            <c:dLbl>
              <c:idx val="3"/>
              <c:layout>
                <c:manualLayout>
                  <c:x val="2.6030368763557601E-2"/>
                  <c:y val="0"/>
                </c:manualLayout>
              </c:layout>
              <c:dLblPos val="bestFit"/>
              <c:showVal val="1"/>
              <c:showCatName val="1"/>
              <c:separator>
</c:separator>
            </c:dLbl>
            <c:dLbl>
              <c:idx val="4"/>
              <c:layout>
                <c:manualLayout>
                  <c:x val="1.7353579175704993E-2"/>
                  <c:y val="0"/>
                </c:manualLayout>
              </c:layout>
              <c:dLblPos val="bestFit"/>
              <c:showVal val="1"/>
              <c:showCatName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dLblPos val="outEnd"/>
            <c:showVal val="1"/>
            <c:showCatName val="1"/>
            <c:separator>
</c:separator>
            <c:showLeaderLines val="1"/>
          </c:dLbls>
          <c:cat>
            <c:strRef>
              <c:f>'Fig 4.3'!$B$36:$B$40</c:f>
              <c:strCache>
                <c:ptCount val="5"/>
                <c:pt idx="1">
                  <c:v>Bi-Monthly (Jan)</c:v>
                </c:pt>
                <c:pt idx="2">
                  <c:v>Bi-Monthly (Feb)</c:v>
                </c:pt>
                <c:pt idx="3">
                  <c:v>Monthly</c:v>
                </c:pt>
                <c:pt idx="4">
                  <c:v>4-monthly, 6-monthly, annually</c:v>
                </c:pt>
              </c:strCache>
            </c:strRef>
          </c:cat>
          <c:val>
            <c:numRef>
              <c:f>'Fig 4.3'!$F$36:$F$40</c:f>
              <c:numCache>
                <c:formatCode>_ * #,##0.0%_ ;_ * \-#,##0.0%_ </c:formatCode>
                <c:ptCount val="5"/>
                <c:pt idx="1">
                  <c:v>0.37109752172513677</c:v>
                </c:pt>
                <c:pt idx="2">
                  <c:v>0.50071880699495763</c:v>
                </c:pt>
                <c:pt idx="3">
                  <c:v>8.6776096985302004E-2</c:v>
                </c:pt>
                <c:pt idx="4">
                  <c:v>4.140757429460358E-2</c:v>
                </c:pt>
              </c:numCache>
            </c:numRef>
          </c:val>
        </c:ser>
        <c:firstSliceAng val="80"/>
      </c:pieChart>
    </c:plotArea>
    <c:plotVisOnly val="1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plotArea>
      <c:layout>
        <c:manualLayout>
          <c:layoutTarget val="inner"/>
          <c:xMode val="edge"/>
          <c:yMode val="edge"/>
          <c:x val="0.15512164016374308"/>
          <c:y val="4.583333333333383E-2"/>
          <c:w val="0.81306346468079771"/>
          <c:h val="0.76060859580052564"/>
        </c:manualLayout>
      </c:layout>
      <c:barChart>
        <c:barDir val="col"/>
        <c:grouping val="clustered"/>
        <c:ser>
          <c:idx val="0"/>
          <c:order val="0"/>
          <c:tx>
            <c:strRef>
              <c:f>'Fig 4.4'!$C$26</c:f>
              <c:strCache>
                <c:ptCount val="1"/>
                <c:pt idx="0">
                  <c:v>Output</c:v>
                </c:pt>
              </c:strCache>
            </c:strRef>
          </c:tx>
          <c:spPr>
            <a:solidFill>
              <a:srgbClr val="993300"/>
            </a:solidFill>
            <a:ln>
              <a:solidFill>
                <a:srgbClr val="000000"/>
              </a:solidFill>
            </a:ln>
          </c:spPr>
          <c:cat>
            <c:strRef>
              <c:f>'Fig 4.4'!$B$27:$B$30</c:f>
              <c:strCache>
                <c:ptCount val="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</c:strCache>
            </c:strRef>
          </c:cat>
          <c:val>
            <c:numRef>
              <c:f>'Fig 4.4'!$C$27:$C$30</c:f>
              <c:numCache>
                <c:formatCode>_(* #,##0_);_*\ \-#,##0_);_(* "–"_);_(@_)</c:formatCode>
                <c:ptCount val="4"/>
                <c:pt idx="0">
                  <c:v>550527.70178300003</c:v>
                </c:pt>
                <c:pt idx="1">
                  <c:v>613543.01037199993</c:v>
                </c:pt>
                <c:pt idx="2">
                  <c:v>616082.90770500014</c:v>
                </c:pt>
                <c:pt idx="3">
                  <c:v>673730.71230699995</c:v>
                </c:pt>
              </c:numCache>
            </c:numRef>
          </c:val>
        </c:ser>
        <c:ser>
          <c:idx val="3"/>
          <c:order val="1"/>
          <c:tx>
            <c:strRef>
              <c:f>'Fig 4.4'!$D$26</c:f>
              <c:strCache>
                <c:ptCount val="1"/>
                <c:pt idx="0">
                  <c:v>Input</c:v>
                </c:pt>
              </c:strCache>
            </c:strRef>
          </c:tx>
          <c:spPr>
            <a:solidFill>
              <a:srgbClr val="004F87"/>
            </a:solidFill>
            <a:ln>
              <a:solidFill>
                <a:srgbClr val="000000"/>
              </a:solidFill>
            </a:ln>
          </c:spPr>
          <c:cat>
            <c:strRef>
              <c:f>'Fig 4.4'!$B$27:$B$30</c:f>
              <c:strCache>
                <c:ptCount val="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</c:strCache>
            </c:strRef>
          </c:cat>
          <c:val>
            <c:numRef>
              <c:f>'Fig 4.4'!$D$27:$D$30</c:f>
              <c:numCache>
                <c:formatCode>_(* #,##0_);_*\ \-#,##0_);_(* "–"_);_(@_)</c:formatCode>
                <c:ptCount val="4"/>
                <c:pt idx="0">
                  <c:v>384753.53947000002</c:v>
                </c:pt>
                <c:pt idx="1">
                  <c:v>426291.29208699998</c:v>
                </c:pt>
                <c:pt idx="2">
                  <c:v>424864.86996800004</c:v>
                </c:pt>
                <c:pt idx="3">
                  <c:v>467529.81554300012</c:v>
                </c:pt>
              </c:numCache>
            </c:numRef>
          </c:val>
        </c:ser>
        <c:ser>
          <c:idx val="6"/>
          <c:order val="2"/>
          <c:tx>
            <c:strRef>
              <c:f>'Fig 4.4'!$E$26</c:f>
              <c:strCache>
                <c:ptCount val="1"/>
                <c:pt idx="0">
                  <c:v>Net VAT payments</c:v>
                </c:pt>
              </c:strCache>
            </c:strRef>
          </c:tx>
          <c:spPr>
            <a:solidFill>
              <a:srgbClr val="99CCFF"/>
            </a:solidFill>
            <a:ln>
              <a:solidFill>
                <a:srgbClr val="000000"/>
              </a:solidFill>
            </a:ln>
          </c:spPr>
          <c:cat>
            <c:strRef>
              <c:f>'Fig 4.4'!$B$27:$B$30</c:f>
              <c:strCache>
                <c:ptCount val="4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</c:strCache>
            </c:strRef>
          </c:cat>
          <c:val>
            <c:numRef>
              <c:f>'Fig 4.4'!$E$27:$E$30</c:f>
              <c:numCache>
                <c:formatCode>_(* #,##0_);_*\ \-#,##0_);_(* "–"_);_(@_)</c:formatCode>
                <c:ptCount val="4"/>
                <c:pt idx="0">
                  <c:v>165774.16231300001</c:v>
                </c:pt>
                <c:pt idx="1">
                  <c:v>187251.71828500001</c:v>
                </c:pt>
                <c:pt idx="2">
                  <c:v>191218.03773700006</c:v>
                </c:pt>
                <c:pt idx="3">
                  <c:v>206200.89676400003</c:v>
                </c:pt>
              </c:numCache>
            </c:numRef>
          </c:val>
        </c:ser>
        <c:axId val="224190464"/>
        <c:axId val="224192000"/>
      </c:barChart>
      <c:catAx>
        <c:axId val="224190464"/>
        <c:scaling>
          <c:orientation val="minMax"/>
        </c:scaling>
        <c:axPos val="b"/>
        <c:tickLblPos val="nextTo"/>
        <c:spPr>
          <a:ln>
            <a:solidFill>
              <a:sysClr val="windowText" lastClr="000000"/>
            </a:solidFill>
          </a:ln>
        </c:spPr>
        <c:crossAx val="224192000"/>
        <c:crosses val="autoZero"/>
        <c:auto val="1"/>
        <c:lblAlgn val="ctr"/>
        <c:lblOffset val="100"/>
      </c:catAx>
      <c:valAx>
        <c:axId val="224192000"/>
        <c:scaling>
          <c:orientation val="minMax"/>
          <c:max val="700000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R millions</a:t>
                </a:r>
              </a:p>
            </c:rich>
          </c:tx>
        </c:title>
        <c:numFmt formatCode="#,##0" sourceLinked="0"/>
        <c:tickLblPos val="nextTo"/>
        <c:spPr>
          <a:ln>
            <a:solidFill>
              <a:sysClr val="windowText" lastClr="000000"/>
            </a:solidFill>
          </a:ln>
        </c:spPr>
        <c:crossAx val="224190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0694940247436542E-2"/>
          <c:y val="0.91314337270341261"/>
          <c:w val="0.94704083898406499"/>
          <c:h val="6.1856627296587932E-2"/>
        </c:manualLayout>
      </c:layout>
      <c:spPr>
        <a:ln>
          <a:noFill/>
        </a:ln>
      </c:spPr>
    </c:legend>
    <c:plotVisOnly val="1"/>
  </c:chart>
  <c:spPr>
    <a:ln>
      <a:solidFill>
        <a:sysClr val="windowText" lastClr="000000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676275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666750</xdr:colOff>
      <xdr:row>20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95250</xdr:rowOff>
    </xdr:from>
    <xdr:to>
      <xdr:col>6</xdr:col>
      <xdr:colOff>142875</xdr:colOff>
      <xdr:row>21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0</xdr:rowOff>
    </xdr:from>
    <xdr:to>
      <xdr:col>6</xdr:col>
      <xdr:colOff>152400</xdr:colOff>
      <xdr:row>20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rgb="FF7030A0"/>
    <pageSetUpPr fitToPage="1"/>
  </sheetPr>
  <dimension ref="A1:B24"/>
  <sheetViews>
    <sheetView showGridLines="0" tabSelected="1" zoomScaleNormal="100" workbookViewId="0"/>
  </sheetViews>
  <sheetFormatPr defaultRowHeight="12.75"/>
  <cols>
    <col min="1" max="1" width="1.7109375" style="125" customWidth="1"/>
    <col min="2" max="2" width="128.85546875" style="125" bestFit="1" customWidth="1"/>
    <col min="3" max="16384" width="9.140625" style="125"/>
  </cols>
  <sheetData>
    <row r="1" spans="1:2">
      <c r="A1" s="89" t="s">
        <v>99</v>
      </c>
    </row>
    <row r="2" spans="1:2">
      <c r="A2" s="134" t="s">
        <v>100</v>
      </c>
      <c r="B2" s="135"/>
    </row>
    <row r="3" spans="1:2" ht="15" customHeight="1">
      <c r="A3" s="90"/>
      <c r="B3" s="91" t="s">
        <v>112</v>
      </c>
    </row>
    <row r="4" spans="1:2" ht="15" customHeight="1">
      <c r="A4" s="90"/>
      <c r="B4" s="198" t="s">
        <v>156</v>
      </c>
    </row>
    <row r="5" spans="1:2" ht="15" customHeight="1">
      <c r="A5" s="90"/>
      <c r="B5" s="198" t="s">
        <v>160</v>
      </c>
    </row>
    <row r="6" spans="1:2" s="126" customFormat="1" ht="12.75" customHeight="1">
      <c r="A6" s="134" t="s">
        <v>108</v>
      </c>
      <c r="B6" s="135"/>
    </row>
    <row r="7" spans="1:2" s="126" customFormat="1" ht="15" customHeight="1">
      <c r="A7" s="123"/>
      <c r="B7" s="124" t="s">
        <v>133</v>
      </c>
    </row>
    <row r="8" spans="1:2" s="126" customFormat="1" ht="15" customHeight="1">
      <c r="A8" s="123"/>
      <c r="B8" s="124" t="s">
        <v>143</v>
      </c>
    </row>
    <row r="9" spans="1:2" s="126" customFormat="1" ht="15" customHeight="1">
      <c r="A9" s="123"/>
      <c r="B9" s="124" t="s">
        <v>144</v>
      </c>
    </row>
    <row r="10" spans="1:2" s="126" customFormat="1" ht="15" customHeight="1">
      <c r="A10" s="123"/>
      <c r="B10" s="124" t="s">
        <v>165</v>
      </c>
    </row>
    <row r="11" spans="1:2" ht="12.75" customHeight="1">
      <c r="A11" s="134" t="s">
        <v>101</v>
      </c>
      <c r="B11" s="135"/>
    </row>
    <row r="12" spans="1:2" ht="15" customHeight="1">
      <c r="A12" s="90"/>
      <c r="B12" s="91" t="s">
        <v>113</v>
      </c>
    </row>
    <row r="13" spans="1:2" ht="15" customHeight="1">
      <c r="A13" s="90"/>
      <c r="B13" s="93" t="s">
        <v>114</v>
      </c>
    </row>
    <row r="14" spans="1:2" ht="15" customHeight="1">
      <c r="A14" s="90"/>
      <c r="B14" s="92" t="s">
        <v>115</v>
      </c>
    </row>
    <row r="15" spans="1:2" ht="15" customHeight="1">
      <c r="A15" s="90"/>
      <c r="B15" s="92" t="s">
        <v>116</v>
      </c>
    </row>
    <row r="16" spans="1:2" ht="15" customHeight="1">
      <c r="A16" s="90"/>
      <c r="B16" s="92" t="s">
        <v>117</v>
      </c>
    </row>
    <row r="17" spans="1:2" ht="15" customHeight="1">
      <c r="A17" s="90"/>
      <c r="B17" s="92" t="s">
        <v>118</v>
      </c>
    </row>
    <row r="18" spans="1:2" ht="15" customHeight="1">
      <c r="A18" s="90"/>
      <c r="B18" s="93" t="s">
        <v>119</v>
      </c>
    </row>
    <row r="19" spans="1:2" ht="15" customHeight="1">
      <c r="A19" s="90"/>
      <c r="B19" s="158" t="s">
        <v>135</v>
      </c>
    </row>
    <row r="20" spans="1:2" ht="15" customHeight="1">
      <c r="A20" s="90"/>
      <c r="B20" s="159" t="s">
        <v>136</v>
      </c>
    </row>
    <row r="21" spans="1:2" ht="15" customHeight="1">
      <c r="A21" s="90"/>
      <c r="B21" s="159" t="s">
        <v>137</v>
      </c>
    </row>
    <row r="22" spans="1:2" ht="15" customHeight="1">
      <c r="A22" s="90"/>
      <c r="B22" s="158" t="s">
        <v>169</v>
      </c>
    </row>
    <row r="23" spans="1:2" ht="15" customHeight="1">
      <c r="A23" s="90"/>
      <c r="B23" s="159" t="s">
        <v>168</v>
      </c>
    </row>
    <row r="24" spans="1:2" ht="15" customHeight="1">
      <c r="A24" s="94"/>
      <c r="B24" s="157" t="s">
        <v>167</v>
      </c>
    </row>
  </sheetData>
  <phoneticPr fontId="15" type="noConversion"/>
  <hyperlinks>
    <hyperlink ref="B3" location="'4.1'!A1" display="Table 4.1: Number of registered VAT vendors, 2002/03 – 2007/08"/>
    <hyperlink ref="B24" location="A4.6.1!A1" display="Table A4.6.1: Domestic VAT: Vendors per annualised turnover (payments and refunds), 2007/08 – 2010/11"/>
    <hyperlink ref="B18" location="A4.3.1!A1" display="Table A4.3.1: Domestic VAT: Payments and refunds by type of enterprise, 2005/06 – 2008/09"/>
    <hyperlink ref="B17" location="A4.2.5!A1" display="Table A4.2.5: Domestic VAT: Payments and refunds by sector (for vendors that submit quarterly, bi-annually, annually returns), 2005/06 – 2008/09"/>
    <hyperlink ref="B15" location="A4.2.3!A1" display="Table A4.2.3: Domestic VAT: Payments and refunds by sector (for vendors that submit returns bi-monthly in February), 2006/07 – 2009/10"/>
    <hyperlink ref="B14" location="A4.2.2!A1" display="Table A4.2.2: Domestic VAT: Payments and refunds by sector (for vendors that submit returns bi-monthly in January), 2006/07 – 2009/10"/>
    <hyperlink ref="B16" location="A4.2.4!A1" display="Table A4.2.4: Domestic VAT: Payments and refunds by sector (for vendors that submit returns monthly), 2006/07 – 2009/10"/>
    <hyperlink ref="B13" location="A4.2.1!A1" display="Table A4.2.1: Domestic VAT: Payments and refunds by payment category, 2005/06 – 2008/09"/>
    <hyperlink ref="B12" location="A4.1.1!A1" display="Table A4.1.1: Domestic VAT: Payments and refunds by sector, 2005/06 – 2008/09"/>
    <hyperlink ref="B7" location="'Fig 4.1'!A1" display="Figure 4.1: VAT payments by sector, 2009/10"/>
    <hyperlink ref="B8" location="'Fig 4.2'!A1" display="Figure 4.2: VAT refunds by sector, 2010/11"/>
    <hyperlink ref="B9" location="'Fig 4.3'!A1" display="Figure 4.3: VAT vendors by payment category, 2007/08 – 2010/11"/>
    <hyperlink ref="B19:B21" location="A4.4.1!A1" display="Table A4.4.1: Domestic VAT: Vendors per annualised turnover (payments and refunds), 2010/11"/>
    <hyperlink ref="B19" location="A4.4.1!A1" display="Table A4.4.1: Domestic VAT: Net input/output and by sector, 2007/08 – 2010/11"/>
    <hyperlink ref="B20" location="A4.4.2!A1" display="Table A4.4.2: Domestic VAT: Payments input/output and by sector, 2007/08 – 2010/11"/>
    <hyperlink ref="B21" location="A4.4.3!A1" display="Table A4.4.3: Domestic VAT: Refunds input/output and by sector, 2007/08 – 2010/11"/>
    <hyperlink ref="B10" location="'Fig 4.4'!A1" display="Figure 4.4: Domestic VAT output/input, 2007/08 – 2010/11"/>
    <hyperlink ref="B5" location="'4.3'!A1" display="Table 4.3: Output and Input VAT declared for each R1 domestic VAT collected and refunded, 2007/08 – 2010/11"/>
    <hyperlink ref="B4" location="'4.2'!A1" display="Table 4.2: Relationship between domestic VAT payments and VAT refunds, 2007/08 – 2010/11"/>
    <hyperlink ref="B22" location="A4.5.1!A1" display="Table A4.5.1: Domestic VAT: Output/input VAT declared and claimed for each R1 VAT collected, 2007/08 – 2010/11"/>
    <hyperlink ref="B23" location="A4.5.2!A1" display="Table A4.5.2: Domestic VAT: Output/input VAT declared and claimed for each R1 VAT refunded, 2007/08 – 2010/11"/>
  </hyperlinks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 enableFormatConditionsCalculation="0">
    <tabColor theme="3"/>
    <pageSetUpPr fitToPage="1"/>
  </sheetPr>
  <dimension ref="A1:AI3332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140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93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2" t="s">
        <v>43</v>
      </c>
      <c r="C3" s="243"/>
      <c r="D3" s="60" t="s">
        <v>5</v>
      </c>
      <c r="E3" s="61" t="s">
        <v>3</v>
      </c>
      <c r="F3" s="61" t="s">
        <v>4</v>
      </c>
      <c r="G3" s="60" t="s">
        <v>5</v>
      </c>
      <c r="H3" s="61" t="s">
        <v>3</v>
      </c>
      <c r="I3" s="61" t="s">
        <v>4</v>
      </c>
      <c r="J3" s="60" t="s">
        <v>5</v>
      </c>
      <c r="K3" s="61" t="s">
        <v>3</v>
      </c>
      <c r="L3" s="61" t="s">
        <v>4</v>
      </c>
      <c r="M3" s="60" t="s">
        <v>5</v>
      </c>
      <c r="N3" s="61" t="s">
        <v>3</v>
      </c>
      <c r="O3" s="62" t="s">
        <v>4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95">
        <f>A4.1.1!D4/A4.1.1!D$38</f>
        <v>6.6389907533836848E-2</v>
      </c>
      <c r="E4" s="96">
        <f>A4.1.1!E4/A4.1.1!E$38</f>
        <v>7.7956692661908938E-2</v>
      </c>
      <c r="F4" s="96">
        <f>A4.1.1!F4/A4.1.1!F$38</f>
        <v>6.8900549016429974E-2</v>
      </c>
      <c r="G4" s="95">
        <f>A4.1.1!G4/A4.1.1!G$38</f>
        <v>7.1291732504685651E-2</v>
      </c>
      <c r="H4" s="96">
        <f>A4.1.1!H4/A4.1.1!H$38</f>
        <v>8.3126762061811799E-2</v>
      </c>
      <c r="I4" s="96">
        <f>A4.1.1!I4/A4.1.1!I$38</f>
        <v>7.3879907982660684E-2</v>
      </c>
      <c r="J4" s="95">
        <f>A4.1.1!J4/A4.1.1!J$38</f>
        <v>7.1192882334211477E-2</v>
      </c>
      <c r="K4" s="96">
        <f>A4.1.1!K4/A4.1.1!K$38</f>
        <v>8.2047768306837993E-2</v>
      </c>
      <c r="L4" s="96">
        <f>A4.1.1!L4/A4.1.1!L$38</f>
        <v>6.921193387051959E-2</v>
      </c>
      <c r="M4" s="95">
        <f>A4.1.1!M4/A4.1.1!M$38</f>
        <v>7.0119085934985517E-2</v>
      </c>
      <c r="N4" s="96">
        <f>A4.1.1!N4/A4.1.1!N$38</f>
        <v>8.2680346139993963E-2</v>
      </c>
      <c r="O4" s="97">
        <f>A4.1.1!O4/A4.1.1!O$38</f>
        <v>7.1882242283786008E-2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95">
        <f>A4.1.1!D5/A4.1.1!D$38</f>
        <v>0.13041925970097099</v>
      </c>
      <c r="E5" s="96">
        <f>A4.1.1!E5/A4.1.1!E$38</f>
        <v>4.7668267416134856E-2</v>
      </c>
      <c r="F5" s="96">
        <f>A4.1.1!F5/A4.1.1!F$38</f>
        <v>6.8819513381009292E-2</v>
      </c>
      <c r="G5" s="95">
        <f>A4.1.1!G5/A4.1.1!G$38</f>
        <v>0.12796082527878236</v>
      </c>
      <c r="H5" s="96">
        <f>A4.1.1!H5/A4.1.1!H$38</f>
        <v>4.3747007819564872E-2</v>
      </c>
      <c r="I5" s="96">
        <f>A4.1.1!I5/A4.1.1!I$38</f>
        <v>8.7815527143550176E-2</v>
      </c>
      <c r="J5" s="95">
        <f>A4.1.1!J5/A4.1.1!J$38</f>
        <v>0.12985440585053631</v>
      </c>
      <c r="K5" s="96">
        <f>A4.1.1!K5/A4.1.1!K$38</f>
        <v>5.3341787297577839E-2</v>
      </c>
      <c r="L5" s="96">
        <f>A4.1.1!L5/A4.1.1!L$38</f>
        <v>0.10111315643234231</v>
      </c>
      <c r="M5" s="95">
        <f>A4.1.1!M5/A4.1.1!M$38</f>
        <v>0.13283982405321318</v>
      </c>
      <c r="N5" s="96">
        <f>A4.1.1!N5/A4.1.1!N$38</f>
        <v>4.7331431964412606E-2</v>
      </c>
      <c r="O5" s="97">
        <f>A4.1.1!O5/A4.1.1!O$38</f>
        <v>8.2868695879837487E-2</v>
      </c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95">
        <f>A4.1.1!D6/A4.1.1!D$38</f>
        <v>4.3185059564617113E-3</v>
      </c>
      <c r="E6" s="96">
        <f>A4.1.1!E6/A4.1.1!E$38</f>
        <v>3.9718717155117853E-3</v>
      </c>
      <c r="F6" s="96">
        <f>A4.1.1!F6/A4.1.1!F$38</f>
        <v>3.1603897814063736E-3</v>
      </c>
      <c r="G6" s="95">
        <f>A4.1.1!G6/A4.1.1!G$38</f>
        <v>4.1859781046947068E-3</v>
      </c>
      <c r="H6" s="96">
        <f>A4.1.1!H6/A4.1.1!H$38</f>
        <v>3.5906165221554339E-3</v>
      </c>
      <c r="I6" s="96">
        <f>A4.1.1!I6/A4.1.1!I$38</f>
        <v>3.5601946761396534E-3</v>
      </c>
      <c r="J6" s="95">
        <f>A4.1.1!J6/A4.1.1!J$38</f>
        <v>4.072336705990675E-3</v>
      </c>
      <c r="K6" s="96">
        <f>A4.1.1!K6/A4.1.1!K$38</f>
        <v>3.6406587956168924E-3</v>
      </c>
      <c r="L6" s="96">
        <f>A4.1.1!L6/A4.1.1!L$38</f>
        <v>2.639622117254793E-3</v>
      </c>
      <c r="M6" s="95">
        <f>A4.1.1!M6/A4.1.1!M$38</f>
        <v>4.0210277867181636E-3</v>
      </c>
      <c r="N6" s="96">
        <f>A4.1.1!N6/A4.1.1!N$38</f>
        <v>3.4944954396347815E-3</v>
      </c>
      <c r="O6" s="97">
        <f>A4.1.1!O6/A4.1.1!O$38</f>
        <v>2.744189203603324E-3</v>
      </c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95">
        <f>A4.1.1!D7/A4.1.1!D$38</f>
        <v>3.3754232572625532E-2</v>
      </c>
      <c r="E7" s="96">
        <f>A4.1.1!E7/A4.1.1!E$38</f>
        <v>1.4604177433497279E-2</v>
      </c>
      <c r="F7" s="96">
        <f>A4.1.1!F7/A4.1.1!F$38</f>
        <v>6.7867344664816354E-3</v>
      </c>
      <c r="G7" s="95">
        <f>A4.1.1!G7/A4.1.1!G$38</f>
        <v>3.2925923272152685E-2</v>
      </c>
      <c r="H7" s="96">
        <f>A4.1.1!H7/A4.1.1!H$38</f>
        <v>1.4059258471195277E-2</v>
      </c>
      <c r="I7" s="96">
        <f>A4.1.1!I7/A4.1.1!I$38</f>
        <v>6.0797170623307925E-3</v>
      </c>
      <c r="J7" s="95">
        <f>A4.1.1!J7/A4.1.1!J$38</f>
        <v>3.2442813887317144E-2</v>
      </c>
      <c r="K7" s="96">
        <f>A4.1.1!K7/A4.1.1!K$38</f>
        <v>1.3892794870352663E-2</v>
      </c>
      <c r="L7" s="96">
        <f>A4.1.1!L7/A4.1.1!L$38</f>
        <v>6.7727146429563765E-3</v>
      </c>
      <c r="M7" s="95">
        <f>A4.1.1!M7/A4.1.1!M$38</f>
        <v>3.1481600686621605E-2</v>
      </c>
      <c r="N7" s="96">
        <f>A4.1.1!N7/A4.1.1!N$38</f>
        <v>1.5394274478502525E-2</v>
      </c>
      <c r="O7" s="97">
        <f>A4.1.1!O7/A4.1.1!O$38</f>
        <v>4.7805133476199252E-3</v>
      </c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95">
        <f>A4.1.1!D8/A4.1.1!D$38</f>
        <v>8.078682646784574E-3</v>
      </c>
      <c r="E8" s="96">
        <f>A4.1.1!E8/A4.1.1!E$38</f>
        <v>2.0196154717178345E-2</v>
      </c>
      <c r="F8" s="96">
        <f>A4.1.1!F8/A4.1.1!F$38</f>
        <v>1.8465995421486598E-2</v>
      </c>
      <c r="G8" s="95">
        <f>A4.1.1!G8/A4.1.1!G$38</f>
        <v>7.9307314902459167E-3</v>
      </c>
      <c r="H8" s="96">
        <f>A4.1.1!H8/A4.1.1!H$38</f>
        <v>1.8016915793393266E-2</v>
      </c>
      <c r="I8" s="96">
        <f>A4.1.1!I8/A4.1.1!I$38</f>
        <v>2.3129528489382014E-2</v>
      </c>
      <c r="J8" s="95">
        <f>A4.1.1!J8/A4.1.1!J$38</f>
        <v>8.2095712080927554E-3</v>
      </c>
      <c r="K8" s="96">
        <f>A4.1.1!K8/A4.1.1!K$38</f>
        <v>2.0652557409405376E-2</v>
      </c>
      <c r="L8" s="96">
        <f>A4.1.1!L8/A4.1.1!L$38</f>
        <v>1.8772575715476521E-2</v>
      </c>
      <c r="M8" s="95">
        <f>A4.1.1!M8/A4.1.1!M$38</f>
        <v>8.3810749919536534E-3</v>
      </c>
      <c r="N8" s="96">
        <f>A4.1.1!N8/A4.1.1!N$38</f>
        <v>2.0465673152735734E-2</v>
      </c>
      <c r="O8" s="97">
        <f>A4.1.1!O8/A4.1.1!O$38</f>
        <v>1.9936583048086341E-2</v>
      </c>
    </row>
    <row r="9" spans="1:35" ht="13.35" customHeight="1">
      <c r="A9" s="13"/>
      <c r="B9" s="14" t="s">
        <v>64</v>
      </c>
      <c r="C9" s="14"/>
      <c r="D9" s="95">
        <f>A4.1.1!D9/A4.1.1!D$38</f>
        <v>3.8342407766474036E-3</v>
      </c>
      <c r="E9" s="96">
        <f>A4.1.1!E9/A4.1.1!E$38</f>
        <v>4.1634971052952486E-3</v>
      </c>
      <c r="F9" s="96">
        <f>A4.1.1!F9/A4.1.1!F$38</f>
        <v>1.0129454427584531E-3</v>
      </c>
      <c r="G9" s="95">
        <f>A4.1.1!G9/A4.1.1!G$38</f>
        <v>3.680643810974805E-3</v>
      </c>
      <c r="H9" s="96">
        <f>A4.1.1!H9/A4.1.1!H$38</f>
        <v>3.6225331134634819E-3</v>
      </c>
      <c r="I9" s="96">
        <f>A4.1.1!I9/A4.1.1!I$38</f>
        <v>9.3895244205880976E-4</v>
      </c>
      <c r="J9" s="95">
        <f>A4.1.1!J9/A4.1.1!J$38</f>
        <v>3.6099399086969132E-3</v>
      </c>
      <c r="K9" s="96">
        <f>A4.1.1!K9/A4.1.1!K$38</f>
        <v>3.9372293154845608E-3</v>
      </c>
      <c r="L9" s="96">
        <f>A4.1.1!L9/A4.1.1!L$38</f>
        <v>8.2488191164212276E-4</v>
      </c>
      <c r="M9" s="95">
        <f>A4.1.1!M9/A4.1.1!M$38</f>
        <v>3.4760218860637269E-3</v>
      </c>
      <c r="N9" s="96">
        <f>A4.1.1!N9/A4.1.1!N$38</f>
        <v>4.0249968364595599E-3</v>
      </c>
      <c r="O9" s="97">
        <f>A4.1.1!O9/A4.1.1!O$38</f>
        <v>8.6301356579751186E-4</v>
      </c>
    </row>
    <row r="10" spans="1:35" ht="13.35" customHeight="1">
      <c r="A10" s="13"/>
      <c r="B10" s="14" t="s">
        <v>84</v>
      </c>
      <c r="C10" s="14"/>
      <c r="D10" s="95">
        <f>A4.1.1!D10/A4.1.1!D$38</f>
        <v>1.4053185610297567E-3</v>
      </c>
      <c r="E10" s="96">
        <f>A4.1.1!E10/A4.1.1!E$38</f>
        <v>2.2518886714553658E-2</v>
      </c>
      <c r="F10" s="96">
        <f>A4.1.1!F10/A4.1.1!F$38</f>
        <v>3.7316910111221409E-2</v>
      </c>
      <c r="G10" s="95">
        <f>A4.1.1!G10/A4.1.1!G$38</f>
        <v>1.5009182753770208E-3</v>
      </c>
      <c r="H10" s="96">
        <f>A4.1.1!H10/A4.1.1!H$38</f>
        <v>2.7974892281504335E-2</v>
      </c>
      <c r="I10" s="96">
        <f>A4.1.1!I10/A4.1.1!I$38</f>
        <v>3.5085522918264188E-2</v>
      </c>
      <c r="J10" s="95">
        <f>A4.1.1!J10/A4.1.1!J$38</f>
        <v>1.5697154434446128E-3</v>
      </c>
      <c r="K10" s="96">
        <f>A4.1.1!K10/A4.1.1!K$38</f>
        <v>1.3207614703761843E-2</v>
      </c>
      <c r="L10" s="96">
        <f>A4.1.1!L10/A4.1.1!L$38</f>
        <v>3.0485898860794666E-2</v>
      </c>
      <c r="M10" s="95">
        <f>A4.1.1!M10/A4.1.1!M$38</f>
        <v>1.6607660122304473E-3</v>
      </c>
      <c r="N10" s="96">
        <f>A4.1.1!N10/A4.1.1!N$38</f>
        <v>1.5588953890181344E-2</v>
      </c>
      <c r="O10" s="97">
        <f>A4.1.1!O10/A4.1.1!O$38</f>
        <v>3.7633209537754418E-2</v>
      </c>
    </row>
    <row r="11" spans="1:35" s="29" customFormat="1" ht="13.35" customHeight="1">
      <c r="A11" s="27"/>
      <c r="B11" s="28" t="s">
        <v>1</v>
      </c>
      <c r="C11" s="28"/>
      <c r="D11" s="95">
        <f>A4.1.1!D11/A4.1.1!D$38</f>
        <v>7.0976183648548824E-2</v>
      </c>
      <c r="E11" s="96">
        <f>A4.1.1!E11/A4.1.1!E$38</f>
        <v>6.9792289691134712E-2</v>
      </c>
      <c r="F11" s="96">
        <f>A4.1.1!F11/A4.1.1!F$38</f>
        <v>3.5007394501732139E-2</v>
      </c>
      <c r="G11" s="95">
        <f>A4.1.1!G11/A4.1.1!G$38</f>
        <v>7.1039065357825698E-2</v>
      </c>
      <c r="H11" s="96">
        <f>A4.1.1!H11/A4.1.1!H$38</f>
        <v>7.6126389701579866E-2</v>
      </c>
      <c r="I11" s="96">
        <f>A4.1.1!I11/A4.1.1!I$38</f>
        <v>3.330151327835245E-2</v>
      </c>
      <c r="J11" s="95">
        <f>A4.1.1!J11/A4.1.1!J$38</f>
        <v>6.9629251059152311E-2</v>
      </c>
      <c r="K11" s="96">
        <f>A4.1.1!K11/A4.1.1!K$38</f>
        <v>7.1585987554264735E-2</v>
      </c>
      <c r="L11" s="96">
        <f>A4.1.1!L11/A4.1.1!L$38</f>
        <v>3.4436649069185886E-2</v>
      </c>
      <c r="M11" s="95">
        <f>A4.1.1!M11/A4.1.1!M$38</f>
        <v>6.76472481493402E-2</v>
      </c>
      <c r="N11" s="96">
        <f>A4.1.1!N11/A4.1.1!N$38</f>
        <v>6.3533626001382223E-2</v>
      </c>
      <c r="O11" s="97">
        <f>A4.1.1!O11/A4.1.1!O$38</f>
        <v>2.8799441465377641E-2</v>
      </c>
    </row>
    <row r="12" spans="1:35" s="29" customFormat="1" ht="13.35" customHeight="1">
      <c r="A12" s="27"/>
      <c r="B12" s="28" t="s">
        <v>65</v>
      </c>
      <c r="C12" s="28"/>
      <c r="D12" s="95">
        <f>A4.1.1!D12/A4.1.1!D$38</f>
        <v>4.0697265895767139E-3</v>
      </c>
      <c r="E12" s="96">
        <f>A4.1.1!E12/A4.1.1!E$38</f>
        <v>2.1775612475393559E-3</v>
      </c>
      <c r="F12" s="96">
        <f>A4.1.1!F12/A4.1.1!F$38</f>
        <v>1.4079941654342497E-3</v>
      </c>
      <c r="G12" s="95">
        <f>A4.1.1!G12/A4.1.1!G$38</f>
        <v>4.0313608954221994E-3</v>
      </c>
      <c r="H12" s="96">
        <f>A4.1.1!H12/A4.1.1!H$38</f>
        <v>2.2713974147561041E-3</v>
      </c>
      <c r="I12" s="96">
        <f>A4.1.1!I12/A4.1.1!I$38</f>
        <v>1.228462778360276E-3</v>
      </c>
      <c r="J12" s="95">
        <f>A4.1.1!J12/A4.1.1!J$38</f>
        <v>4.0175791905216768E-3</v>
      </c>
      <c r="K12" s="96">
        <f>A4.1.1!K12/A4.1.1!K$38</f>
        <v>2.2140523293569022E-3</v>
      </c>
      <c r="L12" s="96">
        <f>A4.1.1!L12/A4.1.1!L$38</f>
        <v>2.1186440677966102E-3</v>
      </c>
      <c r="M12" s="95">
        <f>A4.1.1!M12/A4.1.1!M$38</f>
        <v>3.963094088617101E-3</v>
      </c>
      <c r="N12" s="96">
        <f>A4.1.1!N12/A4.1.1!N$38</f>
        <v>2.1512074990509378E-3</v>
      </c>
      <c r="O12" s="97">
        <f>A4.1.1!O12/A4.1.1!O$38</f>
        <v>2.0557177072929493E-3</v>
      </c>
    </row>
    <row r="13" spans="1:35" s="29" customFormat="1" ht="13.35" customHeight="1">
      <c r="A13" s="27"/>
      <c r="B13" s="30" t="s">
        <v>85</v>
      </c>
      <c r="C13" s="30"/>
      <c r="D13" s="95">
        <f>A4.1.1!D13/A4.1.1!D$38</f>
        <v>2.0225192804009338E-3</v>
      </c>
      <c r="E13" s="96">
        <f>A4.1.1!E13/A4.1.1!E$38</f>
        <v>7.1482077219225254E-3</v>
      </c>
      <c r="F13" s="96">
        <f>A4.1.1!F13/A4.1.1!F$38</f>
        <v>3.383237778813233E-3</v>
      </c>
      <c r="G13" s="95">
        <f>A4.1.1!G13/A4.1.1!G$38</f>
        <v>2.2381783830056831E-3</v>
      </c>
      <c r="H13" s="96">
        <f>A4.1.1!H13/A4.1.1!H$38</f>
        <v>7.3301771370817594E-3</v>
      </c>
      <c r="I13" s="96">
        <f>A4.1.1!I13/A4.1.1!I$38</f>
        <v>3.1846136993161295E-3</v>
      </c>
      <c r="J13" s="95">
        <f>A4.1.1!J13/A4.1.1!J$38</f>
        <v>2.3160400987257725E-3</v>
      </c>
      <c r="K13" s="96">
        <f>A4.1.1!K13/A4.1.1!K$38</f>
        <v>9.1681196917711913E-3</v>
      </c>
      <c r="L13" s="96">
        <f>A4.1.1!L13/A4.1.1!L$38</f>
        <v>3.1432342317310362E-3</v>
      </c>
      <c r="M13" s="95">
        <f>A4.1.1!M13/A4.1.1!M$38</f>
        <v>2.3838643922325931E-3</v>
      </c>
      <c r="N13" s="96">
        <f>A4.1.1!N13/A4.1.1!N$38</f>
        <v>9.2132031577000575E-3</v>
      </c>
      <c r="O13" s="97">
        <f>A4.1.1!O13/A4.1.1!O$38</f>
        <v>4.1890096676912934E-3</v>
      </c>
    </row>
    <row r="14" spans="1:35" s="29" customFormat="1" ht="13.35" customHeight="1">
      <c r="A14" s="27"/>
      <c r="B14" s="30" t="s">
        <v>86</v>
      </c>
      <c r="C14" s="30"/>
      <c r="D14" s="95">
        <f>A4.1.1!D14/A4.1.1!D$38</f>
        <v>0.32746960998611774</v>
      </c>
      <c r="E14" s="96">
        <f>A4.1.1!E14/A4.1.1!E$38</f>
        <v>0.31258165854678271</v>
      </c>
      <c r="F14" s="96">
        <f>A4.1.1!F14/A4.1.1!F$38</f>
        <v>0.18585522983732097</v>
      </c>
      <c r="G14" s="95">
        <f>A4.1.1!G14/A4.1.1!G$38</f>
        <v>0.33300964283424656</v>
      </c>
      <c r="H14" s="96">
        <f>A4.1.1!H14/A4.1.1!H$38</f>
        <v>0.31536251928294057</v>
      </c>
      <c r="I14" s="96">
        <f>A4.1.1!I14/A4.1.1!I$38</f>
        <v>0.17335409461510776</v>
      </c>
      <c r="J14" s="95">
        <f>A4.1.1!J14/A4.1.1!J$38</f>
        <v>0.33441834336207088</v>
      </c>
      <c r="K14" s="96">
        <f>A4.1.1!K14/A4.1.1!K$38</f>
        <v>0.31261600764947411</v>
      </c>
      <c r="L14" s="96">
        <f>A4.1.1!L14/A4.1.1!L$38</f>
        <v>0.15611107252014447</v>
      </c>
      <c r="M14" s="95">
        <f>A4.1.1!M14/A4.1.1!M$38</f>
        <v>0.33783285055251583</v>
      </c>
      <c r="N14" s="96">
        <f>A4.1.1!N14/A4.1.1!N$38</f>
        <v>0.32121129529946563</v>
      </c>
      <c r="O14" s="97">
        <f>A4.1.1!O14/A4.1.1!O$38</f>
        <v>0.14342509721023591</v>
      </c>
    </row>
    <row r="15" spans="1:35" s="29" customFormat="1" ht="13.35" customHeight="1">
      <c r="A15" s="27"/>
      <c r="B15" s="30" t="s">
        <v>66</v>
      </c>
      <c r="C15" s="30"/>
      <c r="D15" s="95">
        <f>A4.1.1!D15/A4.1.1!D$38</f>
        <v>7.9191599993163313E-3</v>
      </c>
      <c r="E15" s="96">
        <f>A4.1.1!E15/A4.1.1!E$38</f>
        <v>4.1460766153149337E-2</v>
      </c>
      <c r="F15" s="96">
        <f>A4.1.1!F15/A4.1.1!F$38</f>
        <v>2.2001175016713601E-2</v>
      </c>
      <c r="G15" s="95">
        <f>A4.1.1!G15/A4.1.1!G$38</f>
        <v>7.8138257954301193E-3</v>
      </c>
      <c r="H15" s="96">
        <f>A4.1.1!H15/A4.1.1!H$38</f>
        <v>3.8390339911697428E-2</v>
      </c>
      <c r="I15" s="96">
        <f>A4.1.1!I15/A4.1.1!I$38</f>
        <v>2.1322045038418804E-2</v>
      </c>
      <c r="J15" s="95">
        <f>A4.1.1!J15/A4.1.1!J$38</f>
        <v>7.8810261152787667E-3</v>
      </c>
      <c r="K15" s="96">
        <f>A4.1.1!K15/A4.1.1!K$38</f>
        <v>4.2389131201775329E-2</v>
      </c>
      <c r="L15" s="96">
        <f>A4.1.1!L15/A4.1.1!L$38</f>
        <v>2.5336899138649626E-2</v>
      </c>
      <c r="M15" s="95">
        <f>A4.1.1!M15/A4.1.1!M$38</f>
        <v>7.8832743267889718E-3</v>
      </c>
      <c r="N15" s="96">
        <f>A4.1.1!N15/A4.1.1!N$38</f>
        <v>4.2118890716712251E-2</v>
      </c>
      <c r="O15" s="97">
        <f>A4.1.1!O15/A4.1.1!O$38</f>
        <v>2.6598272033512078E-2</v>
      </c>
    </row>
    <row r="16" spans="1:35" s="29" customFormat="1" ht="13.35" customHeight="1">
      <c r="A16" s="27"/>
      <c r="B16" s="30" t="s">
        <v>87</v>
      </c>
      <c r="C16" s="30"/>
      <c r="D16" s="95">
        <f>A4.1.1!D16/A4.1.1!D$38</f>
        <v>7.1595283447056519E-4</v>
      </c>
      <c r="E16" s="96">
        <f>A4.1.1!E16/A4.1.1!E$38</f>
        <v>5.6326250936351331E-4</v>
      </c>
      <c r="F16" s="96">
        <f>A4.1.1!F16/A4.1.1!F$38</f>
        <v>9.0152144405502318E-4</v>
      </c>
      <c r="G16" s="95">
        <f>A4.1.1!G16/A4.1.1!G$38</f>
        <v>6.9954859317195321E-4</v>
      </c>
      <c r="H16" s="96">
        <f>A4.1.1!H16/A4.1.1!H$38</f>
        <v>4.8938773339007391E-4</v>
      </c>
      <c r="I16" s="96">
        <f>A4.1.1!I16/A4.1.1!I$38</f>
        <v>7.2768814259557759E-4</v>
      </c>
      <c r="J16" s="95">
        <f>A4.1.1!J16/A4.1.1!J$38</f>
        <v>6.9359519594064281E-4</v>
      </c>
      <c r="K16" s="96">
        <f>A4.1.1!K16/A4.1.1!K$38</f>
        <v>5.5223476113289941E-4</v>
      </c>
      <c r="L16" s="96">
        <f>A4.1.1!L16/A4.1.1!L$38</f>
        <v>3.5600166712975828E-4</v>
      </c>
      <c r="M16" s="95">
        <f>A4.1.1!M16/A4.1.1!M$38</f>
        <v>7.0807853234631482E-4</v>
      </c>
      <c r="N16" s="96">
        <f>A4.1.1!N16/A4.1.1!N$38</f>
        <v>5.159004409488675E-4</v>
      </c>
      <c r="O16" s="97">
        <f>A4.1.1!O16/A4.1.1!O$38</f>
        <v>6.4968436975767747E-4</v>
      </c>
    </row>
    <row r="17" spans="1:15" s="29" customFormat="1" ht="13.35" customHeight="1">
      <c r="A17" s="27"/>
      <c r="B17" s="30" t="s">
        <v>67</v>
      </c>
      <c r="C17" s="30"/>
      <c r="D17" s="95">
        <f>A4.1.1!D17/A4.1.1!D$38</f>
        <v>1.7669032286244401E-2</v>
      </c>
      <c r="E17" s="96">
        <f>A4.1.1!E17/A4.1.1!E$38</f>
        <v>2.7576635638838401E-2</v>
      </c>
      <c r="F17" s="96">
        <f>A4.1.1!F17/A4.1.1!F$38</f>
        <v>1.940803468325196E-2</v>
      </c>
      <c r="G17" s="95">
        <f>A4.1.1!G17/A4.1.1!G$38</f>
        <v>1.7228505379547537E-2</v>
      </c>
      <c r="H17" s="96">
        <f>A4.1.1!H17/A4.1.1!H$38</f>
        <v>2.9772860258524391E-2</v>
      </c>
      <c r="I17" s="96">
        <f>A4.1.1!I17/A4.1.1!I$38</f>
        <v>1.9921440979014413E-2</v>
      </c>
      <c r="J17" s="95">
        <f>A4.1.1!J17/A4.1.1!J$38</f>
        <v>1.7443310761068625E-2</v>
      </c>
      <c r="K17" s="96">
        <f>A4.1.1!K17/A4.1.1!K$38</f>
        <v>3.4852149369276317E-2</v>
      </c>
      <c r="L17" s="96">
        <f>A4.1.1!L17/A4.1.1!L$38</f>
        <v>1.3206793553764935E-2</v>
      </c>
      <c r="M17" s="95">
        <f>A4.1.1!M17/A4.1.1!M$38</f>
        <v>1.7678360690912991E-2</v>
      </c>
      <c r="N17" s="96">
        <f>A4.1.1!N17/A4.1.1!N$38</f>
        <v>3.2433589985691062E-2</v>
      </c>
      <c r="O17" s="97">
        <f>A4.1.1!O17/A4.1.1!O$38</f>
        <v>1.694997430352866E-2</v>
      </c>
    </row>
    <row r="18" spans="1:15" s="29" customFormat="1" ht="13.35" customHeight="1">
      <c r="A18" s="27"/>
      <c r="B18" s="30" t="s">
        <v>88</v>
      </c>
      <c r="C18" s="30"/>
      <c r="D18" s="95">
        <f>A4.1.1!D18/A4.1.1!D$38</f>
        <v>3.1864648831781472E-2</v>
      </c>
      <c r="E18" s="96">
        <f>A4.1.1!E18/A4.1.1!E$38</f>
        <v>2.4394492802434223E-2</v>
      </c>
      <c r="F18" s="96">
        <f>A4.1.1!F18/A4.1.1!F$38</f>
        <v>3.0894836004132817E-3</v>
      </c>
      <c r="G18" s="95">
        <f>A4.1.1!G18/A4.1.1!G$38</f>
        <v>3.1604134690445033E-2</v>
      </c>
      <c r="H18" s="96">
        <f>A4.1.1!H18/A4.1.1!H$38</f>
        <v>2.4394914623118252E-2</v>
      </c>
      <c r="I18" s="96">
        <f>A4.1.1!I18/A4.1.1!I$38</f>
        <v>2.8794541556470166E-3</v>
      </c>
      <c r="J18" s="95">
        <f>A4.1.1!J18/A4.1.1!J$38</f>
        <v>3.2388056371848148E-2</v>
      </c>
      <c r="K18" s="96">
        <f>A4.1.1!K18/A4.1.1!K$38</f>
        <v>2.6491928679903257E-2</v>
      </c>
      <c r="L18" s="96">
        <f>A4.1.1!L18/A4.1.1!L$38</f>
        <v>3.1953320366768546E-3</v>
      </c>
      <c r="M18" s="95">
        <f>A4.1.1!M18/A4.1.1!M$38</f>
        <v>3.2324857847870397E-2</v>
      </c>
      <c r="N18" s="96">
        <f>A4.1.1!N18/A4.1.1!N$38</f>
        <v>2.7892692708282634E-2</v>
      </c>
      <c r="O18" s="97">
        <f>A4.1.1!O18/A4.1.1!O$38</f>
        <v>2.6375246055834068E-3</v>
      </c>
    </row>
    <row r="19" spans="1:15" s="29" customFormat="1" ht="13.35" customHeight="1">
      <c r="A19" s="27"/>
      <c r="B19" s="30" t="s">
        <v>139</v>
      </c>
      <c r="C19" s="30"/>
      <c r="D19" s="95">
        <f>A4.1.1!D19/A4.1.1!D$38</f>
        <v>1.5185036775667479E-2</v>
      </c>
      <c r="E19" s="96">
        <f>A4.1.1!E19/A4.1.1!E$38</f>
        <v>2.3651218563274123E-2</v>
      </c>
      <c r="F19" s="96">
        <f>A4.1.1!F19/A4.1.1!F$38</f>
        <v>5.5347338992321873E-2</v>
      </c>
      <c r="G19" s="95">
        <f>A4.1.1!G19/A4.1.1!G$38</f>
        <v>1.5084605782683627E-2</v>
      </c>
      <c r="H19" s="96">
        <f>A4.1.1!H19/A4.1.1!H$38</f>
        <v>2.5804564072557049E-2</v>
      </c>
      <c r="I19" s="96">
        <f>A4.1.1!I19/A4.1.1!I$38</f>
        <v>4.8160435673933112E-2</v>
      </c>
      <c r="J19" s="95">
        <f>A4.1.1!J19/A4.1.1!J$38</f>
        <v>1.5250982086180217E-2</v>
      </c>
      <c r="K19" s="96">
        <f>A4.1.1!K19/A4.1.1!K$38</f>
        <v>2.1296831297393758E-2</v>
      </c>
      <c r="L19" s="96">
        <f>A4.1.1!L19/A4.1.1!L$38</f>
        <v>4.2807029730480686E-2</v>
      </c>
      <c r="M19" s="95">
        <f>A4.1.1!M19/A4.1.1!M$38</f>
        <v>1.5290204913635875E-2</v>
      </c>
      <c r="N19" s="96">
        <f>A4.1.1!N19/A4.1.1!N$38</f>
        <v>1.9755093300108047E-2</v>
      </c>
      <c r="O19" s="97">
        <f>A4.1.1!O19/A4.1.1!O$38</f>
        <v>4.4498530937581819E-2</v>
      </c>
    </row>
    <row r="20" spans="1:15" s="29" customFormat="1" ht="13.35" customHeight="1">
      <c r="A20" s="27"/>
      <c r="B20" s="30" t="s">
        <v>68</v>
      </c>
      <c r="C20" s="30"/>
      <c r="D20" s="95">
        <f>A4.1.1!D20/A4.1.1!D$38</f>
        <v>5.0477523448879636E-3</v>
      </c>
      <c r="E20" s="96">
        <f>A4.1.1!E20/A4.1.1!E$38</f>
        <v>5.1332377141994415E-2</v>
      </c>
      <c r="F20" s="96">
        <f>A4.1.1!F20/A4.1.1!F$38</f>
        <v>0.19274325884807844</v>
      </c>
      <c r="G20" s="95">
        <f>A4.1.1!G20/A4.1.1!G$38</f>
        <v>5.2117312979171933E-3</v>
      </c>
      <c r="H20" s="96">
        <f>A4.1.1!H20/A4.1.1!H$38</f>
        <v>4.5677961593701792E-2</v>
      </c>
      <c r="I20" s="96">
        <f>A4.1.1!I20/A4.1.1!I$38</f>
        <v>0.18104568003630617</v>
      </c>
      <c r="J20" s="95">
        <f>A4.1.1!J20/A4.1.1!J$38</f>
        <v>5.1472064540858233E-3</v>
      </c>
      <c r="K20" s="96">
        <f>A4.1.1!K20/A4.1.1!K$38</f>
        <v>3.1334209409466733E-2</v>
      </c>
      <c r="L20" s="96">
        <f>A4.1.1!L20/A4.1.1!L$38</f>
        <v>0.21731731036398999</v>
      </c>
      <c r="M20" s="95">
        <f>A4.1.1!M20/A4.1.1!M$38</f>
        <v>5.3792511533097311E-3</v>
      </c>
      <c r="N20" s="96">
        <f>A4.1.1!N20/A4.1.1!N$38</f>
        <v>3.2472525868026826E-2</v>
      </c>
      <c r="O20" s="97">
        <f>A4.1.1!O20/A4.1.1!O$38</f>
        <v>0.21730487651148583</v>
      </c>
    </row>
    <row r="21" spans="1:15" s="29" customFormat="1" ht="13.35" customHeight="1">
      <c r="A21" s="27"/>
      <c r="B21" s="30" t="s">
        <v>69</v>
      </c>
      <c r="C21" s="30"/>
      <c r="D21" s="95">
        <f>A4.1.1!D21/A4.1.1!D$38</f>
        <v>7.0455835965140502E-3</v>
      </c>
      <c r="E21" s="96">
        <f>A4.1.1!E21/A4.1.1!E$38</f>
        <v>6.5559110625918208E-3</v>
      </c>
      <c r="F21" s="96">
        <f>A4.1.1!F21/A4.1.1!F$38</f>
        <v>1.6419845627114522E-2</v>
      </c>
      <c r="G21" s="95">
        <f>A4.1.1!G21/A4.1.1!G$38</f>
        <v>6.9502321143714808E-3</v>
      </c>
      <c r="H21" s="96">
        <f>A4.1.1!H21/A4.1.1!H$38</f>
        <v>6.7131230384594922E-3</v>
      </c>
      <c r="I21" s="96">
        <f>A4.1.1!I21/A4.1.1!I$38</f>
        <v>1.409211123456597E-2</v>
      </c>
      <c r="J21" s="95">
        <f>A4.1.1!J21/A4.1.1!J$38</f>
        <v>6.9886814187469452E-3</v>
      </c>
      <c r="K21" s="96">
        <f>A4.1.1!K21/A4.1.1!K$38</f>
        <v>7.0614463437456854E-3</v>
      </c>
      <c r="L21" s="96">
        <f>A4.1.1!L21/A4.1.1!L$38</f>
        <v>1.1313906640733538E-2</v>
      </c>
      <c r="M21" s="95">
        <f>A4.1.1!M21/A4.1.1!M$38</f>
        <v>7.0078317777062544E-3</v>
      </c>
      <c r="N21" s="96">
        <f>A4.1.1!N21/A4.1.1!N$38</f>
        <v>6.8575822763863609E-3</v>
      </c>
      <c r="O21" s="97">
        <f>A4.1.1!O21/A4.1.1!O$38</f>
        <v>1.256702900307388E-2</v>
      </c>
    </row>
    <row r="22" spans="1:15" s="29" customFormat="1" ht="13.35" customHeight="1">
      <c r="A22" s="27"/>
      <c r="B22" s="30" t="s">
        <v>70</v>
      </c>
      <c r="C22" s="30"/>
      <c r="D22" s="95">
        <f>A4.1.1!D22/A4.1.1!D$38</f>
        <v>8.6465073086060568E-3</v>
      </c>
      <c r="E22" s="96">
        <f>A4.1.1!E22/A4.1.1!E$38</f>
        <v>1.3646050484579963E-2</v>
      </c>
      <c r="F22" s="96">
        <f>A4.1.1!F22/A4.1.1!F$38</f>
        <v>9.3089686189501836E-3</v>
      </c>
      <c r="G22" s="95">
        <f>A4.1.1!G22/A4.1.1!G$38</f>
        <v>8.407782148123287E-3</v>
      </c>
      <c r="H22" s="96">
        <f>A4.1.1!H22/A4.1.1!H$38</f>
        <v>1.2341081972445343E-2</v>
      </c>
      <c r="I22" s="96">
        <f>A4.1.1!I22/A4.1.1!I$38</f>
        <v>6.4318242281028466E-3</v>
      </c>
      <c r="J22" s="95">
        <f>A4.1.1!J22/A4.1.1!J$38</f>
        <v>8.3718156983712683E-3</v>
      </c>
      <c r="K22" s="96">
        <f>A4.1.1!K22/A4.1.1!K$38</f>
        <v>1.3693376762165784E-2</v>
      </c>
      <c r="L22" s="96">
        <f>A4.1.1!L22/A4.1.1!L$38</f>
        <v>5.5744651292025564E-3</v>
      </c>
      <c r="M22" s="95">
        <f>A4.1.1!M22/A4.1.1!M$38</f>
        <v>8.3531809891642522E-3</v>
      </c>
      <c r="N22" s="96">
        <f>A4.1.1!N22/A4.1.1!N$38</f>
        <v>1.3364741611750849E-2</v>
      </c>
      <c r="O22" s="97">
        <f>A4.1.1!O22/A4.1.1!O$38</f>
        <v>6.3804823179186825E-3</v>
      </c>
    </row>
    <row r="23" spans="1:15" s="29" customFormat="1" ht="13.35" customHeight="1">
      <c r="A23" s="27"/>
      <c r="B23" s="30" t="s">
        <v>71</v>
      </c>
      <c r="C23" s="30"/>
      <c r="D23" s="95">
        <f>A4.1.1!D23/A4.1.1!D$38</f>
        <v>9.4137352797628426E-3</v>
      </c>
      <c r="E23" s="96">
        <f>A4.1.1!E23/A4.1.1!E$38</f>
        <v>3.2344043063451231E-3</v>
      </c>
      <c r="F23" s="96">
        <f>A4.1.1!F23/A4.1.1!F$38</f>
        <v>6.2802617451024085E-4</v>
      </c>
      <c r="G23" s="95">
        <f>A4.1.1!G23/A4.1.1!G$38</f>
        <v>9.1148730441865822E-3</v>
      </c>
      <c r="H23" s="96">
        <f>A4.1.1!H23/A4.1.1!H$38</f>
        <v>3.1969785626895049E-3</v>
      </c>
      <c r="I23" s="96">
        <f>A4.1.1!I23/A4.1.1!I$38</f>
        <v>3.8340558050734729E-4</v>
      </c>
      <c r="J23" s="95">
        <f>A4.1.1!J23/A4.1.1!J$38</f>
        <v>8.7105010718276643E-3</v>
      </c>
      <c r="K23" s="96">
        <f>A4.1.1!K23/A4.1.1!K$38</f>
        <v>3.206029585465999E-3</v>
      </c>
      <c r="L23" s="96">
        <f>A4.1.1!L23/A4.1.1!L$38</f>
        <v>3.8205056960266743E-4</v>
      </c>
      <c r="M23" s="95">
        <f>A4.1.1!M23/A4.1.1!M$38</f>
        <v>7.8746915566999254E-3</v>
      </c>
      <c r="N23" s="96">
        <f>A4.1.1!N23/A4.1.1!N$38</f>
        <v>3.3095499985399046E-3</v>
      </c>
      <c r="O23" s="97">
        <f>A4.1.1!O23/A4.1.1!O$38</f>
        <v>4.1696161044149448E-4</v>
      </c>
    </row>
    <row r="24" spans="1:15" s="29" customFormat="1" ht="13.35" customHeight="1">
      <c r="A24" s="27"/>
      <c r="B24" s="30" t="s">
        <v>103</v>
      </c>
      <c r="C24" s="30"/>
      <c r="D24" s="95">
        <f>A4.1.1!D24/A4.1.1!D$38</f>
        <v>1.1679336689639193E-3</v>
      </c>
      <c r="E24" s="96">
        <f>A4.1.1!E24/A4.1.1!E$38</f>
        <v>4.9183850044422252E-3</v>
      </c>
      <c r="F24" s="96">
        <f>A4.1.1!F24/A4.1.1!F$38</f>
        <v>3.2302830169567066E-2</v>
      </c>
      <c r="G24" s="95">
        <f>A4.1.1!G24/A4.1.1!G$38</f>
        <v>1.1615146452666392E-3</v>
      </c>
      <c r="H24" s="96">
        <f>A4.1.1!H24/A4.1.1!H$38</f>
        <v>3.0905899249960103E-3</v>
      </c>
      <c r="I24" s="96">
        <f>A4.1.1!I24/A4.1.1!I$38</f>
        <v>3.6188792037683291E-2</v>
      </c>
      <c r="J24" s="95">
        <f>A4.1.1!J24/A4.1.1!J$38</f>
        <v>1.2411703506306241E-3</v>
      </c>
      <c r="K24" s="96">
        <f>A4.1.1!K24/A4.1.1!K$38</f>
        <v>4.7604681723586052E-3</v>
      </c>
      <c r="L24" s="96">
        <f>A4.1.1!L24/A4.1.1!L$38</f>
        <v>5.6057238121700471E-2</v>
      </c>
      <c r="M24" s="95">
        <f>A4.1.1!M24/A4.1.1!M$38</f>
        <v>1.3818259843364445E-3</v>
      </c>
      <c r="N24" s="96">
        <f>A4.1.1!N24/A4.1.1!N$38</f>
        <v>5.9669239679557692E-3</v>
      </c>
      <c r="O24" s="97">
        <f>A4.1.1!O24/A4.1.1!O$38</f>
        <v>4.4576105190687214E-2</v>
      </c>
    </row>
    <row r="25" spans="1:15" s="29" customFormat="1" ht="13.35" customHeight="1">
      <c r="A25" s="27"/>
      <c r="B25" s="30" t="s">
        <v>89</v>
      </c>
      <c r="C25" s="30"/>
      <c r="D25" s="95">
        <f>A4.1.1!D25/A4.1.1!D$38</f>
        <v>7.7273530065271349E-3</v>
      </c>
      <c r="E25" s="96">
        <f>A4.1.1!E25/A4.1.1!E$38</f>
        <v>9.7264402390091226E-3</v>
      </c>
      <c r="F25" s="96">
        <f>A4.1.1!F25/A4.1.1!F$38</f>
        <v>3.3528494155304796E-3</v>
      </c>
      <c r="G25" s="95">
        <f>A4.1.1!G25/A4.1.1!G$38</f>
        <v>7.6346961017607507E-3</v>
      </c>
      <c r="H25" s="96">
        <f>A4.1.1!H25/A4.1.1!H$38</f>
        <v>1.051119740411724E-2</v>
      </c>
      <c r="I25" s="96">
        <f>A4.1.1!I25/A4.1.1!I$38</f>
        <v>2.6681898561837841E-3</v>
      </c>
      <c r="J25" s="95">
        <f>A4.1.1!J25/A4.1.1!J$38</f>
        <v>7.6518557727603669E-3</v>
      </c>
      <c r="K25" s="96">
        <f>A4.1.1!K25/A4.1.1!K$38</f>
        <v>1.134637902735096E-2</v>
      </c>
      <c r="L25" s="96">
        <f>A4.1.1!L25/A4.1.1!L$38</f>
        <v>4.6106557377049179E-3</v>
      </c>
      <c r="M25" s="95">
        <f>A4.1.1!M25/A4.1.1!M$38</f>
        <v>7.5785859886278294E-3</v>
      </c>
      <c r="N25" s="96">
        <f>A4.1.1!N25/A4.1.1!N$38</f>
        <v>1.2693097641458928E-2</v>
      </c>
      <c r="O25" s="97">
        <f>A4.1.1!O25/A4.1.1!O$38</f>
        <v>6.8265342732747002E-3</v>
      </c>
    </row>
    <row r="26" spans="1:15" s="29" customFormat="1" ht="13.35" customHeight="1">
      <c r="A26" s="27"/>
      <c r="B26" s="30" t="s">
        <v>72</v>
      </c>
      <c r="C26" s="30"/>
      <c r="D26" s="95">
        <f>A4.1.1!D26/A4.1.1!D$38</f>
        <v>1.2268051221962471E-3</v>
      </c>
      <c r="E26" s="96">
        <f>A4.1.1!E26/A4.1.1!E$38</f>
        <v>2.200788567513109E-3</v>
      </c>
      <c r="F26" s="96">
        <f>A4.1.1!F26/A4.1.1!F$38</f>
        <v>7.7996799092400887E-4</v>
      </c>
      <c r="G26" s="95">
        <f>A4.1.1!G26/A4.1.1!G$38</f>
        <v>1.2463655527942346E-3</v>
      </c>
      <c r="H26" s="96">
        <f>A4.1.1!H26/A4.1.1!H$38</f>
        <v>2.138411617639236E-3</v>
      </c>
      <c r="I26" s="96">
        <f>A4.1.1!I26/A4.1.1!I$38</f>
        <v>9.2330323469116287E-4</v>
      </c>
      <c r="J26" s="95">
        <f>A4.1.1!J26/A4.1.1!J$38</f>
        <v>1.2472545190160683E-3</v>
      </c>
      <c r="K26" s="96">
        <f>A4.1.1!K26/A4.1.1!K$38</f>
        <v>1.9583880880916708E-3</v>
      </c>
      <c r="L26" s="96">
        <f>A4.1.1!L26/A4.1.1!L$38</f>
        <v>1.3719088635732147E-3</v>
      </c>
      <c r="M26" s="95">
        <f>A4.1.1!M26/A4.1.1!M$38</f>
        <v>1.2938525909237206E-3</v>
      </c>
      <c r="N26" s="96">
        <f>A4.1.1!N26/A4.1.1!N$38</f>
        <v>2.0976706608392629E-3</v>
      </c>
      <c r="O26" s="97">
        <f>A4.1.1!O26/A4.1.1!O$38</f>
        <v>9.6967816381742899E-4</v>
      </c>
    </row>
    <row r="27" spans="1:15" s="29" customFormat="1" ht="13.35" customHeight="1">
      <c r="A27" s="27"/>
      <c r="B27" s="30" t="s">
        <v>73</v>
      </c>
      <c r="C27" s="30"/>
      <c r="D27" s="95">
        <f>A4.1.1!D27/A4.1.1!D$38</f>
        <v>0.1038587388975086</v>
      </c>
      <c r="E27" s="96">
        <f>A4.1.1!E27/A4.1.1!E$38</f>
        <v>6.1291090580741066E-2</v>
      </c>
      <c r="F27" s="96">
        <f>A4.1.1!F27/A4.1.1!F$38</f>
        <v>3.5838009764794065E-2</v>
      </c>
      <c r="G27" s="95">
        <f>A4.1.1!G27/A4.1.1!G$38</f>
        <v>0.10083681850579437</v>
      </c>
      <c r="H27" s="96">
        <f>A4.1.1!H27/A4.1.1!H$38</f>
        <v>5.8891430395233792E-2</v>
      </c>
      <c r="I27" s="96">
        <f>A4.1.1!I27/A4.1.1!I$38</f>
        <v>3.321544263783039E-2</v>
      </c>
      <c r="J27" s="95">
        <f>A4.1.1!J27/A4.1.1!J$38</f>
        <v>9.9520770336839842E-2</v>
      </c>
      <c r="K27" s="96">
        <f>A4.1.1!K27/A4.1.1!K$38</f>
        <v>6.0955468402456421E-2</v>
      </c>
      <c r="L27" s="96">
        <f>A4.1.1!L27/A4.1.1!L$38</f>
        <v>3.2656640733537093E-2</v>
      </c>
      <c r="M27" s="95">
        <f>A4.1.1!M27/A4.1.1!M$38</f>
        <v>9.7862890247827489E-2</v>
      </c>
      <c r="N27" s="96">
        <f>A4.1.1!N27/A4.1.1!N$38</f>
        <v>6.4137132177586556E-2</v>
      </c>
      <c r="O27" s="97">
        <f>A4.1.1!O27/A4.1.1!O$38</f>
        <v>3.7274428617141968E-2</v>
      </c>
    </row>
    <row r="28" spans="1:15" s="29" customFormat="1" ht="13.35" customHeight="1">
      <c r="A28" s="27"/>
      <c r="B28" s="30" t="s">
        <v>74</v>
      </c>
      <c r="C28" s="30"/>
      <c r="D28" s="95">
        <f>A4.1.1!D28/A4.1.1!D$38</f>
        <v>1.4907771221734582E-3</v>
      </c>
      <c r="E28" s="96">
        <f>A4.1.1!E28/A4.1.1!E$38</f>
        <v>1.6084919081824042E-3</v>
      </c>
      <c r="F28" s="96">
        <f>A4.1.1!F28/A4.1.1!F$38</f>
        <v>9.7242762504811493E-4</v>
      </c>
      <c r="G28" s="95">
        <f>A4.1.1!G28/A4.1.1!G$38</f>
        <v>1.451893306583299E-3</v>
      </c>
      <c r="H28" s="96">
        <f>A4.1.1!H28/A4.1.1!H$38</f>
        <v>1.7341347944039576E-3</v>
      </c>
      <c r="I28" s="96">
        <f>A4.1.1!I28/A4.1.1!I$38</f>
        <v>8.4505719785292878E-4</v>
      </c>
      <c r="J28" s="95">
        <f>A4.1.1!J28/A4.1.1!J$38</f>
        <v>1.506845703461689E-3</v>
      </c>
      <c r="K28" s="96">
        <f>A4.1.1!K28/A4.1.1!K$38</f>
        <v>1.8510091067602738E-3</v>
      </c>
      <c r="L28" s="96">
        <f>A4.1.1!L28/A4.1.1!L$38</f>
        <v>9.8985829397054727E-4</v>
      </c>
      <c r="M28" s="95">
        <f>A4.1.1!M28/A4.1.1!M$38</f>
        <v>1.5749383113399849E-3</v>
      </c>
      <c r="N28" s="96">
        <f>A4.1.1!N28/A4.1.1!N$38</f>
        <v>2.0295328667516766E-3</v>
      </c>
      <c r="O28" s="97">
        <f>A4.1.1!O28/A4.1.1!O$38</f>
        <v>9.3089103726473187E-4</v>
      </c>
    </row>
    <row r="29" spans="1:15" s="29" customFormat="1" ht="13.35" customHeight="1">
      <c r="A29" s="27"/>
      <c r="B29" s="30" t="s">
        <v>75</v>
      </c>
      <c r="C29" s="30"/>
      <c r="D29" s="95">
        <f>A4.1.1!D29/A4.1.1!D$38</f>
        <v>5.0154679995670099E-3</v>
      </c>
      <c r="E29" s="96">
        <f>A4.1.1!E29/A4.1.1!E$38</f>
        <v>2.1601407575590407E-3</v>
      </c>
      <c r="F29" s="96">
        <f>A4.1.1!F29/A4.1.1!F$38</f>
        <v>2.7349526954478232E-3</v>
      </c>
      <c r="G29" s="95">
        <f>A4.1.1!G29/A4.1.1!G$38</f>
        <v>5.1287659661124335E-3</v>
      </c>
      <c r="H29" s="96">
        <f>A4.1.1!H29/A4.1.1!H$38</f>
        <v>2.0905367306771638E-3</v>
      </c>
      <c r="I29" s="96">
        <f>A4.1.1!I29/A4.1.1!I$38</f>
        <v>2.7307866856543716E-3</v>
      </c>
      <c r="J29" s="95">
        <f>A4.1.1!J29/A4.1.1!J$38</f>
        <v>5.2932264953364852E-3</v>
      </c>
      <c r="K29" s="96">
        <f>A4.1.1!K29/A4.1.1!K$38</f>
        <v>2.0862202087242867E-3</v>
      </c>
      <c r="L29" s="96">
        <f>A4.1.1!L29/A4.1.1!L$38</f>
        <v>4.0636287857738259E-3</v>
      </c>
      <c r="M29" s="95">
        <f>A4.1.1!M29/A4.1.1!M$38</f>
        <v>5.4693702392447164E-3</v>
      </c>
      <c r="N29" s="96">
        <f>A4.1.1!N29/A4.1.1!N$38</f>
        <v>2.2047443372626126E-3</v>
      </c>
      <c r="O29" s="97">
        <f>A4.1.1!O29/A4.1.1!O$38</f>
        <v>4.2181000126058164E-3</v>
      </c>
    </row>
    <row r="30" spans="1:15" s="29" customFormat="1" ht="13.35" customHeight="1">
      <c r="A30" s="27"/>
      <c r="B30" s="30" t="s">
        <v>90</v>
      </c>
      <c r="C30" s="30"/>
      <c r="D30" s="95">
        <f>A4.1.1!D30/A4.1.1!D$38</f>
        <v>1.9397194300483696E-2</v>
      </c>
      <c r="E30" s="96">
        <f>A4.1.1!E30/A4.1.1!E$38</f>
        <v>8.7334723101311768E-3</v>
      </c>
      <c r="F30" s="96">
        <f>A4.1.1!F30/A4.1.1!F$38</f>
        <v>1.6814894349790319E-3</v>
      </c>
      <c r="G30" s="95">
        <f>A4.1.1!G30/A4.1.1!G$38</f>
        <v>1.8693597716190686E-2</v>
      </c>
      <c r="H30" s="96">
        <f>A4.1.1!H30/A4.1.1!H$38</f>
        <v>9.1600617054098631E-3</v>
      </c>
      <c r="I30" s="96">
        <f>A4.1.1!I30/A4.1.1!I$38</f>
        <v>1.8935540914852662E-3</v>
      </c>
      <c r="J30" s="95">
        <f>A4.1.1!J30/A4.1.1!J$38</f>
        <v>1.8457338825309328E-2</v>
      </c>
      <c r="K30" s="96">
        <f>A4.1.1!K30/A4.1.1!K$38</f>
        <v>8.4829395251803715E-3</v>
      </c>
      <c r="L30" s="96">
        <f>A4.1.1!L30/A4.1.1!L$38</f>
        <v>3.6468463462072799E-3</v>
      </c>
      <c r="M30" s="95">
        <f>A4.1.1!M30/A4.1.1!M$38</f>
        <v>1.8223366591567428E-2</v>
      </c>
      <c r="N30" s="96">
        <f>A4.1.1!N30/A4.1.1!N$38</f>
        <v>8.4393524962767565E-3</v>
      </c>
      <c r="O30" s="97">
        <f>A4.1.1!O30/A4.1.1!O$38</f>
        <v>3.510234953019093E-3</v>
      </c>
    </row>
    <row r="31" spans="1:15" s="29" customFormat="1" ht="13.35" customHeight="1">
      <c r="A31" s="27"/>
      <c r="B31" s="30" t="s">
        <v>2</v>
      </c>
      <c r="C31" s="30"/>
      <c r="D31" s="95">
        <f>A4.1.1!D31/A4.1.1!D$38</f>
        <v>2.9150864745684816E-3</v>
      </c>
      <c r="E31" s="96">
        <f>A4.1.1!E31/A4.1.1!E$38</f>
        <v>3.9892922054921001E-3</v>
      </c>
      <c r="F31" s="96">
        <f>A4.1.1!F31/A4.1.1!F$38</f>
        <v>2.5728814246064706E-3</v>
      </c>
      <c r="G31" s="95">
        <f>A4.1.1!G31/A4.1.1!G$38</f>
        <v>2.7717963125681163E-3</v>
      </c>
      <c r="H31" s="96">
        <f>A4.1.1!H31/A4.1.1!H$38</f>
        <v>3.4948667482312891E-3</v>
      </c>
      <c r="I31" s="96">
        <f>A4.1.1!I31/A4.1.1!I$38</f>
        <v>2.1361168056837922E-3</v>
      </c>
      <c r="J31" s="95">
        <f>A4.1.1!J31/A4.1.1!J$38</f>
        <v>2.7581563347347203E-3</v>
      </c>
      <c r="K31" s="96">
        <f>A4.1.1!K31/A4.1.1!K$38</f>
        <v>4.2747061139546657E-3</v>
      </c>
      <c r="L31" s="96">
        <f>A4.1.1!L31/A4.1.1!L$38</f>
        <v>1.8581550430675187E-3</v>
      </c>
      <c r="M31" s="95">
        <f>A4.1.1!M31/A4.1.1!M$38</f>
        <v>2.7679433537174123E-3</v>
      </c>
      <c r="N31" s="96">
        <f>A4.1.1!N31/A4.1.1!N$38</f>
        <v>4.9302561007660631E-3</v>
      </c>
      <c r="O31" s="97">
        <f>A4.1.1!O31/A4.1.1!O$38</f>
        <v>1.7745110397858952E-3</v>
      </c>
    </row>
    <row r="32" spans="1:15" s="29" customFormat="1" ht="13.35" customHeight="1">
      <c r="A32" s="27"/>
      <c r="B32" s="30" t="s">
        <v>76</v>
      </c>
      <c r="C32" s="30"/>
      <c r="D32" s="95">
        <f>A4.1.1!D32/A4.1.1!D$38</f>
        <v>2.3415645753374187E-3</v>
      </c>
      <c r="E32" s="96">
        <f>A4.1.1!E32/A4.1.1!E$38</f>
        <v>2.700175946948801E-3</v>
      </c>
      <c r="F32" s="96">
        <f>A4.1.1!F32/A4.1.1!F$38</f>
        <v>4.9735621239440043E-3</v>
      </c>
      <c r="G32" s="95">
        <f>A4.1.1!G32/A4.1.1!G$38</f>
        <v>2.400337895169532E-3</v>
      </c>
      <c r="H32" s="96">
        <f>A4.1.1!H32/A4.1.1!H$38</f>
        <v>3.0320761742645887E-3</v>
      </c>
      <c r="I32" s="96">
        <f>A4.1.1!I32/A4.1.1!I$38</f>
        <v>5.6258900486690347E-3</v>
      </c>
      <c r="J32" s="95">
        <f>A4.1.1!J32/A4.1.1!J$38</f>
        <v>2.3768817825802146E-3</v>
      </c>
      <c r="K32" s="96">
        <f>A4.1.1!K32/A4.1.1!K$38</f>
        <v>2.8020800842669339E-3</v>
      </c>
      <c r="L32" s="96">
        <f>A4.1.1!L32/A4.1.1!L$38</f>
        <v>4.8885106974159492E-3</v>
      </c>
      <c r="M32" s="95">
        <f>A4.1.1!M32/A4.1.1!M$38</f>
        <v>2.330222079176054E-3</v>
      </c>
      <c r="N32" s="96">
        <f>A4.1.1!N32/A4.1.1!N$38</f>
        <v>2.5892361753282783E-3</v>
      </c>
      <c r="O32" s="97">
        <f>A4.1.1!O32/A4.1.1!O$38</f>
        <v>2.8314602383468926E-3</v>
      </c>
    </row>
    <row r="33" spans="1:35" s="29" customFormat="1" ht="13.35" customHeight="1">
      <c r="A33" s="27"/>
      <c r="B33" s="30" t="s">
        <v>77</v>
      </c>
      <c r="C33" s="30"/>
      <c r="D33" s="95">
        <f>A4.1.1!D33/A4.1.1!D$38</f>
        <v>3.0128890500996066E-2</v>
      </c>
      <c r="E33" s="96">
        <f>A4.1.1!E33/A4.1.1!E$38</f>
        <v>5.6541103646108551E-2</v>
      </c>
      <c r="F33" s="96">
        <f>A4.1.1!F33/A4.1.1!F$38</f>
        <v>4.4113774032130626E-2</v>
      </c>
      <c r="G33" s="95">
        <f>A4.1.1!G33/A4.1.1!G$38</f>
        <v>3.0267261502954699E-2</v>
      </c>
      <c r="H33" s="96">
        <f>A4.1.1!H33/A4.1.1!H$38</f>
        <v>5.5029522846959944E-2</v>
      </c>
      <c r="I33" s="96">
        <f>A4.1.1!I33/A4.1.1!I$38</f>
        <v>4.372388538520524E-2</v>
      </c>
      <c r="J33" s="95">
        <f>A4.1.1!J33/A4.1.1!J$38</f>
        <v>2.966032087904065E-2</v>
      </c>
      <c r="K33" s="96">
        <f>A4.1.1!K33/A4.1.1!K$38</f>
        <v>6.141566403673384E-2</v>
      </c>
      <c r="L33" s="96">
        <f>A4.1.1!L33/A4.1.1!L$38</f>
        <v>4.8555154209502641E-2</v>
      </c>
      <c r="M33" s="95">
        <f>A4.1.1!M33/A4.1.1!M$38</f>
        <v>2.9501126488574187E-2</v>
      </c>
      <c r="N33" s="96">
        <f>A4.1.1!N33/A4.1.1!N$38</f>
        <v>6.0803247252586803E-2</v>
      </c>
      <c r="O33" s="97">
        <f>A4.1.1!O33/A4.1.1!O$38</f>
        <v>4.5303363813550282E-2</v>
      </c>
    </row>
    <row r="34" spans="1:35" s="33" customFormat="1" ht="13.35" customHeight="1">
      <c r="A34" s="31"/>
      <c r="B34" s="32" t="s">
        <v>91</v>
      </c>
      <c r="C34" s="32"/>
      <c r="D34" s="95">
        <f>A4.1.1!D34/A4.1.1!D$38</f>
        <v>1.0323394186159131E-2</v>
      </c>
      <c r="E34" s="96">
        <f>A4.1.1!E34/A4.1.1!E$38</f>
        <v>1.5260349222755805E-2</v>
      </c>
      <c r="F34" s="96">
        <f>A4.1.1!F34/A4.1.1!F$38</f>
        <v>6.9376633374526445E-2</v>
      </c>
      <c r="G34" s="95">
        <f>A4.1.1!G34/A4.1.1!G$38</f>
        <v>1.0231133872105169E-2</v>
      </c>
      <c r="H34" s="96">
        <f>A4.1.1!H34/A4.1.1!H$38</f>
        <v>1.6176392361295814E-2</v>
      </c>
      <c r="I34" s="96">
        <f>A4.1.1!I34/A4.1.1!I$38</f>
        <v>8.3957997527425235E-2</v>
      </c>
      <c r="J34" s="95">
        <f>A4.1.1!J34/A4.1.1!J$38</f>
        <v>1.0239655392702648E-2</v>
      </c>
      <c r="K34" s="96">
        <f>A4.1.1!K34/A4.1.1!K$38</f>
        <v>2.0033849945543518E-2</v>
      </c>
      <c r="L34" s="96">
        <f>A4.1.1!L34/A4.1.1!L$38</f>
        <v>4.9267157543762159E-2</v>
      </c>
      <c r="M34" s="95">
        <f>A4.1.1!M34/A4.1.1!M$38</f>
        <v>1.0179165325608841E-2</v>
      </c>
      <c r="N34" s="96">
        <f>A4.1.1!N34/A4.1.1!N$38</f>
        <v>1.792997381561913E-2</v>
      </c>
      <c r="O34" s="97">
        <f>A4.1.1!O34/A4.1.1!O$38</f>
        <v>7.4112502060566104E-2</v>
      </c>
    </row>
    <row r="35" spans="1:35" s="33" customFormat="1" ht="13.35" customHeight="1">
      <c r="A35" s="31"/>
      <c r="B35" s="32" t="s">
        <v>78</v>
      </c>
      <c r="C35" s="32"/>
      <c r="D35" s="95">
        <f>A4.1.1!D35/A4.1.1!D$38</f>
        <v>5.1337806297726232E-2</v>
      </c>
      <c r="E35" s="96">
        <f>A4.1.1!E35/A4.1.1!E$38</f>
        <v>5.0449738982991793E-2</v>
      </c>
      <c r="F35" s="96">
        <f>A4.1.1!F35/A4.1.1!F$38</f>
        <v>4.9067077247219468E-2</v>
      </c>
      <c r="G35" s="95">
        <f>A4.1.1!G35/A4.1.1!G$38</f>
        <v>4.9720746235448067E-2</v>
      </c>
      <c r="H35" s="96">
        <f>A4.1.1!H35/A4.1.1!H$38</f>
        <v>4.8119580828767487E-2</v>
      </c>
      <c r="I35" s="96">
        <f>A4.1.1!I35/A4.1.1!I$38</f>
        <v>4.7644011830800768E-2</v>
      </c>
      <c r="J35" s="95">
        <f>A4.1.1!J35/A4.1.1!J$38</f>
        <v>4.9504850096231262E-2</v>
      </c>
      <c r="K35" s="96">
        <f>A4.1.1!K35/A4.1.1!K$38</f>
        <v>4.8499506568014356E-2</v>
      </c>
      <c r="L35" s="96">
        <f>A4.1.1!L35/A4.1.1!L$38</f>
        <v>4.5029869408168936E-2</v>
      </c>
      <c r="M35" s="95">
        <f>A4.1.1!M35/A4.1.1!M$38</f>
        <v>4.9529020491363589E-2</v>
      </c>
      <c r="N35" s="96">
        <f>A4.1.1!N35/A4.1.1!N$38</f>
        <v>4.8168553434631521E-2</v>
      </c>
      <c r="O35" s="97">
        <f>A4.1.1!O35/A4.1.1!O$38</f>
        <v>4.9123895778990956E-2</v>
      </c>
    </row>
    <row r="36" spans="1:35" s="33" customFormat="1" ht="13.35" customHeight="1">
      <c r="A36" s="31"/>
      <c r="B36" s="32" t="s">
        <v>92</v>
      </c>
      <c r="C36" s="32"/>
      <c r="D36" s="95">
        <f>A4.1.1!D36/A4.1.1!D$38</f>
        <v>6.7398318555332518E-3</v>
      </c>
      <c r="E36" s="96">
        <f>A4.1.1!E36/A4.1.1!E$38</f>
        <v>5.0751694142650589E-3</v>
      </c>
      <c r="F36" s="96">
        <f>A4.1.1!F36/A4.1.1!F$38</f>
        <v>2.2487388829237659E-3</v>
      </c>
      <c r="G36" s="95">
        <f>A4.1.1!G36/A4.1.1!G$38</f>
        <v>6.4807237593854528E-3</v>
      </c>
      <c r="H36" s="96">
        <f>A4.1.1!H36/A4.1.1!H$38</f>
        <v>4.4204478961646894E-3</v>
      </c>
      <c r="I36" s="96">
        <f>A4.1.1!I36/A4.1.1!I$38</f>
        <v>1.9248525062205599E-3</v>
      </c>
      <c r="J36" s="95">
        <f>A4.1.1!J36/A4.1.1!J$38</f>
        <v>6.2545251002366744E-3</v>
      </c>
      <c r="K36" s="96">
        <f>A4.1.1!K36/A4.1.1!K$38</f>
        <v>4.3104991077317981E-3</v>
      </c>
      <c r="L36" s="96">
        <f>A4.1.1!L36/A4.1.1!L$38</f>
        <v>1.8321061405946095E-3</v>
      </c>
      <c r="M36" s="95">
        <f>A4.1.1!M36/A4.1.1!M$38</f>
        <v>5.9371312090977365E-3</v>
      </c>
      <c r="N36" s="96">
        <f>A4.1.1!N36/A4.1.1!N$38</f>
        <v>4.166139409926703E-3</v>
      </c>
      <c r="O36" s="97">
        <f>A4.1.1!O36/A4.1.1!O$38</f>
        <v>1.3672462109825749E-3</v>
      </c>
    </row>
    <row r="37" spans="1:35" s="33" customFormat="1" ht="13.35" customHeight="1">
      <c r="A37" s="31"/>
      <c r="B37" s="32" t="s">
        <v>41</v>
      </c>
      <c r="C37" s="32"/>
      <c r="D37" s="95">
        <f>A4.1.1!D37/A4.1.1!D$38</f>
        <v>8.3559482007174724E-5</v>
      </c>
      <c r="E37" s="96">
        <f>A4.1.1!E37/A4.1.1!E$38</f>
        <v>1.5097757982939533E-4</v>
      </c>
      <c r="F37" s="96">
        <f>A4.1.1!F37/A4.1.1!F$38</f>
        <v>2.025890885516906E-5</v>
      </c>
      <c r="G37" s="95">
        <f>A4.1.1!G37/A4.1.1!G$38</f>
        <v>6.4109574576405408E-5</v>
      </c>
      <c r="H37" s="96">
        <f>A4.1.1!H37/A4.1.1!H$38</f>
        <v>1.0106920580881962E-4</v>
      </c>
      <c r="I37" s="96">
        <f>A4.1.1!I37/A4.1.1!I$38</f>
        <v>0</v>
      </c>
      <c r="J37" s="95">
        <f>A4.1.1!J37/A4.1.1!J$38</f>
        <v>7.9094189010775061E-5</v>
      </c>
      <c r="K37" s="96">
        <f>A4.1.1!K37/A4.1.1!K$38</f>
        <v>4.0906278602436989E-5</v>
      </c>
      <c r="L37" s="96">
        <f>A4.1.1!L37/A4.1.1!L$38</f>
        <v>5.2097804945818285E-5</v>
      </c>
      <c r="M37" s="95">
        <f>A4.1.1!M37/A4.1.1!M$38</f>
        <v>6.4370775667846802E-5</v>
      </c>
      <c r="N37" s="96">
        <f>A4.1.1!N37/A4.1.1!N$38</f>
        <v>3.4068897043793135E-5</v>
      </c>
      <c r="O37" s="97">
        <f>A4.1.1!O37/A4.1.1!O$38</f>
        <v>0</v>
      </c>
    </row>
    <row r="38" spans="1:35" s="29" customFormat="1" ht="13.35" customHeight="1">
      <c r="A38" s="34"/>
      <c r="B38" s="35" t="s">
        <v>0</v>
      </c>
      <c r="C38" s="36"/>
      <c r="D38" s="98">
        <f>A4.1.1!D38/A4.1.1!D$38</f>
        <v>1</v>
      </c>
      <c r="E38" s="99">
        <f>A4.1.1!E38/A4.1.1!E$38</f>
        <v>1</v>
      </c>
      <c r="F38" s="99">
        <f>A4.1.1!F38/A4.1.1!F$38</f>
        <v>1</v>
      </c>
      <c r="G38" s="98">
        <f>A4.1.1!G38/A4.1.1!G$38</f>
        <v>1</v>
      </c>
      <c r="H38" s="99">
        <f>A4.1.1!H38/A4.1.1!H$38</f>
        <v>1</v>
      </c>
      <c r="I38" s="99">
        <f>A4.1.1!I38/A4.1.1!I$38</f>
        <v>1</v>
      </c>
      <c r="J38" s="98">
        <f>A4.1.1!J38/A4.1.1!J$38</f>
        <v>1</v>
      </c>
      <c r="K38" s="99">
        <f>A4.1.1!K38/A4.1.1!K$38</f>
        <v>1</v>
      </c>
      <c r="L38" s="99">
        <f>A4.1.1!L38/A4.1.1!L$38</f>
        <v>1</v>
      </c>
      <c r="M38" s="98">
        <f>A4.1.1!M38/A4.1.1!M$38</f>
        <v>1</v>
      </c>
      <c r="N38" s="99">
        <f>A4.1.1!N38/A4.1.1!N$38</f>
        <v>1</v>
      </c>
      <c r="O38" s="100">
        <f>A4.1.1!O38/A4.1.1!O$38</f>
        <v>1</v>
      </c>
    </row>
    <row r="39" spans="1:35" s="29" customFormat="1" ht="13.35" customHeight="1">
      <c r="B39" s="63"/>
    </row>
    <row r="40" spans="1:35" s="29" customFormat="1" ht="13.35" customHeight="1"/>
    <row r="41" spans="1:35" s="29" customFormat="1" ht="13.35" customHeight="1"/>
    <row r="42" spans="1:35" s="29" customFormat="1" ht="13.35" customHeight="1"/>
    <row r="43" spans="1:35" s="43" customFormat="1" ht="13.35" customHeight="1">
      <c r="A43" s="30"/>
      <c r="B43" s="14"/>
      <c r="C43" s="40"/>
      <c r="D43" s="41"/>
      <c r="E43" s="41"/>
      <c r="F43" s="41"/>
      <c r="G43" s="41"/>
      <c r="H43" s="41"/>
      <c r="I43" s="42"/>
      <c r="J43" s="41"/>
      <c r="K43" s="41"/>
      <c r="L43" s="42"/>
      <c r="M43" s="41"/>
      <c r="N43" s="41"/>
      <c r="O43" s="42"/>
      <c r="P43" s="7"/>
      <c r="Q43" s="7"/>
      <c r="R43" s="22"/>
      <c r="S43" s="23"/>
      <c r="T43" s="24"/>
      <c r="U43" s="24"/>
      <c r="V43" s="24"/>
      <c r="W43" s="24"/>
      <c r="X43" s="24"/>
      <c r="Y43" s="24"/>
      <c r="Z43" s="24"/>
      <c r="AA43" s="24"/>
      <c r="AB43" s="25"/>
      <c r="AC43" s="26"/>
      <c r="AD43" s="26"/>
      <c r="AE43" s="11"/>
      <c r="AF43" s="11"/>
      <c r="AG43" s="11"/>
      <c r="AH43" s="11"/>
      <c r="AI43" s="11"/>
    </row>
    <row r="44" spans="1:35" s="29" customFormat="1" ht="13.35" customHeight="1"/>
    <row r="45" spans="1:35" s="29" customFormat="1" ht="13.35" customHeight="1"/>
    <row r="46" spans="1:35" s="29" customFormat="1" ht="13.35" customHeight="1"/>
    <row r="47" spans="1:35" s="29" customFormat="1" ht="13.35" customHeight="1"/>
    <row r="48" spans="1:35" s="29" customFormat="1" ht="13.35" customHeight="1"/>
    <row r="49" s="29" customFormat="1" ht="13.35" customHeight="1"/>
    <row r="50" s="29" customFormat="1" ht="13.35" customHeight="1"/>
    <row r="51" s="29" customFormat="1" ht="13.35" customHeight="1"/>
    <row r="52" s="29" customFormat="1" ht="13.35" customHeight="1"/>
    <row r="53" s="29" customFormat="1" ht="13.35" customHeight="1"/>
    <row r="54" s="29" customFormat="1" ht="13.35" customHeight="1"/>
    <row r="55" s="29" customFormat="1" ht="13.35" customHeight="1"/>
    <row r="56" s="29" customFormat="1" ht="13.35" customHeight="1"/>
    <row r="57" s="29" customFormat="1" ht="13.35" customHeight="1"/>
    <row r="58" s="29" customFormat="1" ht="13.35" customHeight="1"/>
    <row r="59" s="29" customFormat="1" ht="13.35" customHeight="1"/>
    <row r="60" s="29" customFormat="1" ht="13.35" customHeight="1"/>
    <row r="61" s="29" customFormat="1" ht="13.35" customHeight="1"/>
    <row r="62" s="29" customFormat="1" ht="13.35" customHeight="1"/>
    <row r="63" s="29" customFormat="1" ht="13.35" customHeight="1"/>
    <row r="64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="29" customFormat="1" ht="13.35" customHeight="1"/>
    <row r="3298" s="29" customFormat="1" ht="13.35" customHeight="1"/>
    <row r="3299" s="29" customFormat="1" ht="13.35" customHeight="1"/>
    <row r="3300" s="29" customFormat="1" ht="13.35" customHeight="1"/>
    <row r="3301" s="29" customFormat="1" ht="13.35" customHeight="1"/>
    <row r="3302" s="29" customFormat="1" ht="13.35" customHeight="1"/>
    <row r="3303" s="29" customFormat="1" ht="13.35" customHeight="1"/>
    <row r="3304" s="29" customFormat="1" ht="13.35" customHeight="1"/>
    <row r="3305" s="29" customFormat="1" ht="13.35" customHeight="1"/>
    <row r="3306" s="29" customFormat="1" ht="13.35" customHeight="1"/>
    <row r="3307" s="29" customFormat="1" ht="13.35" customHeight="1"/>
    <row r="3308" s="29" customFormat="1" ht="13.35" customHeight="1"/>
    <row r="3309" s="29" customFormat="1" ht="13.35" customHeight="1"/>
    <row r="3310" s="29" customFormat="1" ht="13.35" customHeight="1"/>
    <row r="3311" s="29" customFormat="1" ht="13.35" customHeight="1"/>
    <row r="3312" s="29" customFormat="1" ht="13.35" customHeight="1"/>
    <row r="3313" s="29" customFormat="1" ht="13.35" customHeight="1"/>
    <row r="3314" s="29" customFormat="1" ht="13.35" customHeight="1"/>
    <row r="3315" s="29" customFormat="1" ht="13.35" customHeight="1"/>
    <row r="3316" s="29" customFormat="1" ht="13.35" customHeight="1"/>
    <row r="3317" s="29" customFormat="1" ht="13.35" customHeight="1"/>
    <row r="3318" s="29" customFormat="1" ht="13.35" customHeight="1"/>
    <row r="3319" s="29" customFormat="1" ht="13.35" customHeight="1"/>
    <row r="3320" s="29" customFormat="1" ht="13.35" customHeight="1"/>
    <row r="3321" s="29" customFormat="1" ht="13.35" customHeight="1"/>
    <row r="3322" s="29" customFormat="1" ht="13.35" customHeight="1"/>
    <row r="3323" s="29" customFormat="1" ht="13.35" customHeight="1"/>
    <row r="3324" s="29" customFormat="1" ht="13.35" customHeight="1"/>
    <row r="3325" s="29" customFormat="1" ht="13.35" customHeight="1"/>
    <row r="3326" s="29" customFormat="1" ht="13.35" customHeight="1"/>
    <row r="3327" s="29" customFormat="1" ht="13.35" customHeight="1"/>
    <row r="3328" s="29" customFormat="1" ht="13.35" customHeight="1"/>
    <row r="3329" spans="2:8" s="29" customFormat="1" ht="13.35" customHeight="1"/>
    <row r="3330" spans="2:8" s="29" customFormat="1" ht="13.35" customHeight="1"/>
    <row r="3331" spans="2:8" s="29" customFormat="1" ht="13.35" customHeight="1"/>
    <row r="3332" spans="2:8">
      <c r="B3332" s="29"/>
      <c r="C3332" s="29"/>
      <c r="D3332" s="29"/>
      <c r="E3332" s="29"/>
      <c r="F3332" s="29"/>
      <c r="G3332" s="29"/>
      <c r="H3332" s="29"/>
    </row>
  </sheetData>
  <mergeCells count="1">
    <mergeCell ref="B3:C3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3" enableFormatConditionsCalculation="0">
    <tabColor theme="3"/>
    <pageSetUpPr fitToPage="1"/>
  </sheetPr>
  <dimension ref="A1:AI3295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15.7109375" style="44" customWidth="1"/>
    <col min="4" max="6" width="10.28515625" style="44" customWidth="1"/>
    <col min="7" max="8" width="10.28515625" style="45" customWidth="1"/>
    <col min="9" max="15" width="10.28515625" style="7" customWidth="1"/>
    <col min="16" max="16" width="12.85546875" style="7" bestFit="1" customWidth="1"/>
    <col min="17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114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109</v>
      </c>
      <c r="C3" s="237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18</v>
      </c>
      <c r="C4" s="14" t="s">
        <v>35</v>
      </c>
      <c r="D4" s="15">
        <v>196131</v>
      </c>
      <c r="E4" s="16">
        <v>18285</v>
      </c>
      <c r="F4" s="16">
        <v>-6515</v>
      </c>
      <c r="G4" s="15">
        <v>198611</v>
      </c>
      <c r="H4" s="16">
        <v>19933</v>
      </c>
      <c r="I4" s="16">
        <v>-7170</v>
      </c>
      <c r="J4" s="15">
        <v>183599</v>
      </c>
      <c r="K4" s="16">
        <v>19683</v>
      </c>
      <c r="L4" s="16">
        <v>-5732</v>
      </c>
      <c r="M4" s="15">
        <v>172950</v>
      </c>
      <c r="N4" s="16">
        <v>20932</v>
      </c>
      <c r="O4" s="17">
        <v>-5063</v>
      </c>
      <c r="R4" s="22"/>
      <c r="S4" s="23"/>
      <c r="T4" s="24"/>
      <c r="U4" s="24"/>
      <c r="V4" s="24"/>
      <c r="W4" s="24"/>
      <c r="X4" s="24"/>
      <c r="Y4" s="24"/>
      <c r="Z4" s="24"/>
      <c r="AA4" s="24"/>
      <c r="AB4" s="25"/>
      <c r="AC4" s="26"/>
      <c r="AD4" s="26"/>
    </row>
    <row r="5" spans="1:35" ht="13.35" customHeight="1">
      <c r="A5" s="13"/>
      <c r="B5" s="14" t="s">
        <v>19</v>
      </c>
      <c r="C5" s="14" t="s">
        <v>36</v>
      </c>
      <c r="D5" s="15">
        <v>265875</v>
      </c>
      <c r="E5" s="16">
        <v>24826</v>
      </c>
      <c r="F5" s="16">
        <v>-9049</v>
      </c>
      <c r="G5" s="15">
        <v>267210</v>
      </c>
      <c r="H5" s="16">
        <v>26656</v>
      </c>
      <c r="I5" s="16">
        <v>-10411</v>
      </c>
      <c r="J5" s="15">
        <v>247767</v>
      </c>
      <c r="K5" s="16">
        <v>26371</v>
      </c>
      <c r="L5" s="16">
        <v>-8586</v>
      </c>
      <c r="M5" s="15">
        <v>233360</v>
      </c>
      <c r="N5" s="16">
        <v>28036</v>
      </c>
      <c r="O5" s="17">
        <v>-7533</v>
      </c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21" t="s">
        <v>20</v>
      </c>
      <c r="C6" s="14" t="s">
        <v>34</v>
      </c>
      <c r="D6" s="15">
        <v>41708</v>
      </c>
      <c r="E6" s="16">
        <v>128644</v>
      </c>
      <c r="F6" s="16">
        <v>-82927</v>
      </c>
      <c r="G6" s="15">
        <v>42237</v>
      </c>
      <c r="H6" s="16">
        <v>140948</v>
      </c>
      <c r="I6" s="16">
        <v>-109989</v>
      </c>
      <c r="J6" s="15">
        <v>41322</v>
      </c>
      <c r="K6" s="16">
        <v>149087</v>
      </c>
      <c r="L6" s="16">
        <v>-100627</v>
      </c>
      <c r="M6" s="15">
        <v>40442</v>
      </c>
      <c r="N6" s="16">
        <v>156089</v>
      </c>
      <c r="O6" s="17">
        <v>-90306</v>
      </c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21</v>
      </c>
      <c r="C7" s="14" t="s">
        <v>105</v>
      </c>
      <c r="D7" s="15">
        <f>20377+44</f>
        <v>20421</v>
      </c>
      <c r="E7" s="16">
        <f>315+17+26</f>
        <v>358</v>
      </c>
      <c r="F7" s="16">
        <f>-186-16-5</f>
        <v>-207</v>
      </c>
      <c r="G7" s="15">
        <f>19743+34</f>
        <v>19777</v>
      </c>
      <c r="H7" s="16">
        <f>330+14+25</f>
        <v>369</v>
      </c>
      <c r="I7" s="16">
        <f>-182-18-2</f>
        <v>-202</v>
      </c>
      <c r="J7" s="15">
        <f>18010+39</f>
        <v>18049</v>
      </c>
      <c r="K7" s="16">
        <f>320+15+21</f>
        <v>356</v>
      </c>
      <c r="L7" s="16">
        <f>-171-18-12</f>
        <v>-201</v>
      </c>
      <c r="M7" s="15">
        <f>17081+30</f>
        <v>17111</v>
      </c>
      <c r="N7" s="16">
        <f>309+13+10</f>
        <v>332</v>
      </c>
      <c r="O7" s="17">
        <f>-177-16-5</f>
        <v>-198</v>
      </c>
    </row>
    <row r="8" spans="1:35" ht="13.35" customHeight="1">
      <c r="A8" s="13"/>
      <c r="B8" s="14" t="s">
        <v>22</v>
      </c>
      <c r="C8" s="14" t="s">
        <v>37</v>
      </c>
      <c r="D8" s="15">
        <v>1134</v>
      </c>
      <c r="E8" s="16">
        <v>56</v>
      </c>
      <c r="F8" s="16">
        <v>-8</v>
      </c>
      <c r="G8" s="15">
        <v>1183</v>
      </c>
      <c r="H8" s="16">
        <v>43</v>
      </c>
      <c r="I8" s="16">
        <v>-15</v>
      </c>
      <c r="J8" s="15">
        <v>1164</v>
      </c>
      <c r="K8" s="16">
        <v>39</v>
      </c>
      <c r="L8" s="16">
        <v>-12</v>
      </c>
      <c r="M8" s="15">
        <v>1138</v>
      </c>
      <c r="N8" s="16">
        <v>44</v>
      </c>
      <c r="O8" s="17">
        <v>-12</v>
      </c>
    </row>
    <row r="9" spans="1:35" ht="13.35" customHeight="1">
      <c r="A9" s="13"/>
      <c r="B9" s="14" t="s">
        <v>23</v>
      </c>
      <c r="C9" s="14" t="s">
        <v>104</v>
      </c>
      <c r="D9" s="15">
        <v>1302</v>
      </c>
      <c r="E9" s="16">
        <v>42</v>
      </c>
      <c r="F9" s="16">
        <v>-16</v>
      </c>
      <c r="G9" s="15">
        <v>1324</v>
      </c>
      <c r="H9" s="16">
        <v>41</v>
      </c>
      <c r="I9" s="16">
        <v>-15</v>
      </c>
      <c r="J9" s="15">
        <v>1182</v>
      </c>
      <c r="K9" s="16">
        <v>33</v>
      </c>
      <c r="L9" s="16">
        <v>-10</v>
      </c>
      <c r="M9" s="15">
        <v>1049</v>
      </c>
      <c r="N9" s="16">
        <v>33</v>
      </c>
      <c r="O9" s="17">
        <v>-15</v>
      </c>
    </row>
    <row r="10" spans="1:35" s="29" customFormat="1" ht="13.35" customHeight="1">
      <c r="A10" s="83"/>
      <c r="B10" s="84" t="s">
        <v>0</v>
      </c>
      <c r="C10" s="85"/>
      <c r="D10" s="86">
        <f t="shared" ref="D10:O10" si="0">SUM(D4:D9)</f>
        <v>526571</v>
      </c>
      <c r="E10" s="87">
        <f t="shared" si="0"/>
        <v>172211</v>
      </c>
      <c r="F10" s="87">
        <f t="shared" si="0"/>
        <v>-98722</v>
      </c>
      <c r="G10" s="86">
        <f t="shared" si="0"/>
        <v>530342</v>
      </c>
      <c r="H10" s="87">
        <f t="shared" si="0"/>
        <v>187990</v>
      </c>
      <c r="I10" s="87">
        <f t="shared" si="0"/>
        <v>-127802</v>
      </c>
      <c r="J10" s="86">
        <f t="shared" si="0"/>
        <v>493083</v>
      </c>
      <c r="K10" s="87">
        <f t="shared" si="0"/>
        <v>195569</v>
      </c>
      <c r="L10" s="87">
        <f t="shared" si="0"/>
        <v>-115168</v>
      </c>
      <c r="M10" s="86">
        <f t="shared" si="0"/>
        <v>466050</v>
      </c>
      <c r="N10" s="87">
        <f t="shared" si="0"/>
        <v>205466</v>
      </c>
      <c r="O10" s="88">
        <f t="shared" si="0"/>
        <v>-103127</v>
      </c>
    </row>
    <row r="11" spans="1:35" s="29" customFormat="1" ht="13.35" customHeight="1">
      <c r="A11" s="108"/>
      <c r="B11" s="244" t="s">
        <v>43</v>
      </c>
      <c r="C11" s="239"/>
      <c r="D11" s="109"/>
      <c r="E11" s="110"/>
      <c r="F11" s="110"/>
      <c r="G11" s="109"/>
      <c r="H11" s="110"/>
      <c r="I11" s="110"/>
      <c r="J11" s="109"/>
      <c r="K11" s="110"/>
      <c r="L11" s="110"/>
      <c r="M11" s="109"/>
      <c r="N11" s="110"/>
      <c r="O11" s="111"/>
    </row>
    <row r="12" spans="1:35" s="29" customFormat="1" ht="13.35" customHeight="1">
      <c r="A12" s="13"/>
      <c r="B12" s="14" t="s">
        <v>18</v>
      </c>
      <c r="C12" s="14" t="s">
        <v>35</v>
      </c>
      <c r="D12" s="95">
        <f t="shared" ref="D12:O12" si="1">D4/D$10</f>
        <v>0.37246829012611782</v>
      </c>
      <c r="E12" s="96">
        <f t="shared" si="1"/>
        <v>0.10617788643001899</v>
      </c>
      <c r="F12" s="96">
        <f t="shared" si="1"/>
        <v>6.5993395595713211E-2</v>
      </c>
      <c r="G12" s="95">
        <f t="shared" si="1"/>
        <v>0.37449607988807221</v>
      </c>
      <c r="H12" s="96">
        <f t="shared" si="1"/>
        <v>0.10603223575722114</v>
      </c>
      <c r="I12" s="96">
        <f t="shared" si="1"/>
        <v>5.6102408413013879E-2</v>
      </c>
      <c r="J12" s="95">
        <f t="shared" si="1"/>
        <v>0.37234907713305876</v>
      </c>
      <c r="K12" s="96">
        <f t="shared" si="1"/>
        <v>0.10064478521647091</v>
      </c>
      <c r="L12" s="96">
        <f t="shared" si="1"/>
        <v>4.9770769658238401E-2</v>
      </c>
      <c r="M12" s="95">
        <f t="shared" si="1"/>
        <v>0.37109752172513677</v>
      </c>
      <c r="N12" s="96">
        <f t="shared" si="1"/>
        <v>0.10187573613152541</v>
      </c>
      <c r="O12" s="97">
        <f t="shared" si="1"/>
        <v>4.9094805434076433E-2</v>
      </c>
    </row>
    <row r="13" spans="1:35" s="29" customFormat="1" ht="13.35" customHeight="1">
      <c r="A13" s="13"/>
      <c r="B13" s="14" t="s">
        <v>19</v>
      </c>
      <c r="C13" s="14" t="s">
        <v>36</v>
      </c>
      <c r="D13" s="95">
        <f t="shared" ref="D13:O13" si="2">D5/D$10</f>
        <v>0.50491766542403593</v>
      </c>
      <c r="E13" s="96">
        <f t="shared" si="2"/>
        <v>0.14416036141709879</v>
      </c>
      <c r="F13" s="96">
        <f t="shared" si="2"/>
        <v>9.166143311521241E-2</v>
      </c>
      <c r="G13" s="95">
        <f t="shared" si="2"/>
        <v>0.50384468889886147</v>
      </c>
      <c r="H13" s="96">
        <f t="shared" si="2"/>
        <v>0.14179477631788925</v>
      </c>
      <c r="I13" s="96">
        <f t="shared" si="2"/>
        <v>8.1461948952285562E-2</v>
      </c>
      <c r="J13" s="95">
        <f t="shared" si="2"/>
        <v>0.50248538278545396</v>
      </c>
      <c r="K13" s="96">
        <f t="shared" si="2"/>
        <v>0.13484243412810823</v>
      </c>
      <c r="L13" s="96">
        <f t="shared" si="2"/>
        <v>7.4551958877465963E-2</v>
      </c>
      <c r="M13" s="95">
        <f t="shared" si="2"/>
        <v>0.50071880699495763</v>
      </c>
      <c r="N13" s="96">
        <f t="shared" si="2"/>
        <v>0.13645079964568346</v>
      </c>
      <c r="O13" s="97">
        <f t="shared" si="2"/>
        <v>7.3045856080366928E-2</v>
      </c>
    </row>
    <row r="14" spans="1:35" s="29" customFormat="1" ht="13.35" customHeight="1">
      <c r="A14" s="13"/>
      <c r="B14" s="21" t="s">
        <v>20</v>
      </c>
      <c r="C14" s="14" t="s">
        <v>34</v>
      </c>
      <c r="D14" s="95">
        <f t="shared" ref="D14:O14" si="3">D6/D$10</f>
        <v>7.9206792626255532E-2</v>
      </c>
      <c r="E14" s="96">
        <f t="shared" si="3"/>
        <v>0.74701383767587437</v>
      </c>
      <c r="F14" s="96">
        <f t="shared" si="3"/>
        <v>0.84000526731630232</v>
      </c>
      <c r="G14" s="95">
        <f t="shared" si="3"/>
        <v>7.9641061805401037E-2</v>
      </c>
      <c r="H14" s="96">
        <f t="shared" si="3"/>
        <v>0.74976328528113201</v>
      </c>
      <c r="I14" s="96">
        <f t="shared" si="3"/>
        <v>0.86062033458005349</v>
      </c>
      <c r="J14" s="95">
        <f t="shared" si="3"/>
        <v>8.3803335341108898E-2</v>
      </c>
      <c r="K14" s="96">
        <f t="shared" si="3"/>
        <v>0.76232429475019048</v>
      </c>
      <c r="L14" s="96">
        <f t="shared" si="3"/>
        <v>0.87374096971380943</v>
      </c>
      <c r="M14" s="95">
        <f t="shared" si="3"/>
        <v>8.6776096985302004E-2</v>
      </c>
      <c r="N14" s="96">
        <f t="shared" si="3"/>
        <v>0.75968286723837519</v>
      </c>
      <c r="O14" s="97">
        <f t="shared" si="3"/>
        <v>0.87567756261696739</v>
      </c>
    </row>
    <row r="15" spans="1:35" s="29" customFormat="1" ht="13.35" customHeight="1">
      <c r="A15" s="13"/>
      <c r="B15" s="14" t="s">
        <v>21</v>
      </c>
      <c r="C15" s="14" t="s">
        <v>105</v>
      </c>
      <c r="D15" s="95">
        <f t="shared" ref="D15:O15" si="4">D7/D$10</f>
        <v>3.8781095047011702E-2</v>
      </c>
      <c r="E15" s="96">
        <f t="shared" si="4"/>
        <v>2.0788451376509052E-3</v>
      </c>
      <c r="F15" s="96">
        <f t="shared" si="4"/>
        <v>2.0967970665099977E-3</v>
      </c>
      <c r="G15" s="95">
        <f t="shared" si="4"/>
        <v>3.7291031070516761E-2</v>
      </c>
      <c r="H15" s="96">
        <f t="shared" si="4"/>
        <v>1.9628703654449705E-3</v>
      </c>
      <c r="I15" s="96">
        <f t="shared" si="4"/>
        <v>1.5805699441323296E-3</v>
      </c>
      <c r="J15" s="95">
        <f t="shared" si="4"/>
        <v>3.6604385062961001E-2</v>
      </c>
      <c r="K15" s="96">
        <f t="shared" si="4"/>
        <v>1.8203293978084462E-3</v>
      </c>
      <c r="L15" s="96">
        <f t="shared" si="4"/>
        <v>1.7452764656849125E-3</v>
      </c>
      <c r="M15" s="95">
        <f t="shared" si="4"/>
        <v>3.671494474841755E-2</v>
      </c>
      <c r="N15" s="96">
        <f t="shared" si="4"/>
        <v>1.6158391169341887E-3</v>
      </c>
      <c r="O15" s="97">
        <f t="shared" si="4"/>
        <v>1.9199627643585093E-3</v>
      </c>
    </row>
    <row r="16" spans="1:35" s="29" customFormat="1" ht="13.35" customHeight="1">
      <c r="A16" s="13"/>
      <c r="B16" s="14" t="s">
        <v>22</v>
      </c>
      <c r="C16" s="14" t="s">
        <v>37</v>
      </c>
      <c r="D16" s="95">
        <f t="shared" ref="D16:O16" si="5">D8/D$10</f>
        <v>2.1535557408212756E-3</v>
      </c>
      <c r="E16" s="96">
        <f t="shared" si="5"/>
        <v>3.2518247963254378E-4</v>
      </c>
      <c r="F16" s="96">
        <f t="shared" si="5"/>
        <v>8.103563542067624E-5</v>
      </c>
      <c r="G16" s="95">
        <f t="shared" si="5"/>
        <v>2.2306360801143412E-3</v>
      </c>
      <c r="H16" s="96">
        <f t="shared" si="5"/>
        <v>2.2873557104101283E-4</v>
      </c>
      <c r="I16" s="96">
        <f t="shared" si="5"/>
        <v>1.1736905525735122E-4</v>
      </c>
      <c r="J16" s="95">
        <f t="shared" si="5"/>
        <v>2.3606573335523632E-3</v>
      </c>
      <c r="K16" s="96">
        <f t="shared" si="5"/>
        <v>1.9941810818688033E-4</v>
      </c>
      <c r="L16" s="96">
        <f t="shared" si="5"/>
        <v>1.0419560989163657E-4</v>
      </c>
      <c r="M16" s="95">
        <f t="shared" si="5"/>
        <v>2.4417980903336553E-3</v>
      </c>
      <c r="N16" s="96">
        <f t="shared" si="5"/>
        <v>2.141473528466997E-4</v>
      </c>
      <c r="O16" s="97">
        <f t="shared" si="5"/>
        <v>1.1636137965809148E-4</v>
      </c>
    </row>
    <row r="17" spans="1:35" s="29" customFormat="1" ht="13.35" customHeight="1">
      <c r="A17" s="13"/>
      <c r="B17" s="14" t="s">
        <v>23</v>
      </c>
      <c r="C17" s="14" t="s">
        <v>104</v>
      </c>
      <c r="D17" s="95">
        <f t="shared" ref="D17:O17" si="6">D9/D$10</f>
        <v>2.472601035757761E-3</v>
      </c>
      <c r="E17" s="96">
        <f t="shared" si="6"/>
        <v>2.4388685972440784E-4</v>
      </c>
      <c r="F17" s="96">
        <f t="shared" si="6"/>
        <v>1.6207127084135248E-4</v>
      </c>
      <c r="G17" s="95">
        <f t="shared" si="6"/>
        <v>2.4965022570341403E-3</v>
      </c>
      <c r="H17" s="96">
        <f t="shared" si="6"/>
        <v>2.1809670727166339E-4</v>
      </c>
      <c r="I17" s="96">
        <f t="shared" si="6"/>
        <v>1.1736905525735122E-4</v>
      </c>
      <c r="J17" s="95">
        <f t="shared" si="6"/>
        <v>2.3971623438650289E-3</v>
      </c>
      <c r="K17" s="96">
        <f t="shared" si="6"/>
        <v>1.6873839923505258E-4</v>
      </c>
      <c r="L17" s="96">
        <f t="shared" si="6"/>
        <v>8.6829674909697145E-5</v>
      </c>
      <c r="M17" s="95">
        <f t="shared" si="6"/>
        <v>2.2508314558523763E-3</v>
      </c>
      <c r="N17" s="96">
        <f t="shared" si="6"/>
        <v>1.6061051463502478E-4</v>
      </c>
      <c r="O17" s="97">
        <f t="shared" si="6"/>
        <v>1.4545172457261434E-4</v>
      </c>
    </row>
    <row r="18" spans="1:35" s="43" customFormat="1" ht="13.35" customHeight="1">
      <c r="A18" s="34"/>
      <c r="B18" s="35" t="s">
        <v>0</v>
      </c>
      <c r="C18" s="36"/>
      <c r="D18" s="98">
        <f t="shared" ref="D18:O18" si="7">D10/D$10</f>
        <v>1</v>
      </c>
      <c r="E18" s="99">
        <f t="shared" si="7"/>
        <v>1</v>
      </c>
      <c r="F18" s="99">
        <f t="shared" si="7"/>
        <v>1</v>
      </c>
      <c r="G18" s="98">
        <f t="shared" si="7"/>
        <v>1</v>
      </c>
      <c r="H18" s="99">
        <f t="shared" si="7"/>
        <v>1</v>
      </c>
      <c r="I18" s="99">
        <f t="shared" si="7"/>
        <v>1</v>
      </c>
      <c r="J18" s="98">
        <f t="shared" si="7"/>
        <v>1</v>
      </c>
      <c r="K18" s="99">
        <f t="shared" si="7"/>
        <v>1</v>
      </c>
      <c r="L18" s="99">
        <f t="shared" si="7"/>
        <v>1</v>
      </c>
      <c r="M18" s="98">
        <f t="shared" si="7"/>
        <v>1</v>
      </c>
      <c r="N18" s="99">
        <f t="shared" si="7"/>
        <v>1</v>
      </c>
      <c r="O18" s="100">
        <f t="shared" si="7"/>
        <v>1</v>
      </c>
      <c r="P18" s="7"/>
      <c r="Q18" s="7"/>
      <c r="R18" s="22"/>
      <c r="S18" s="23"/>
      <c r="T18" s="24"/>
      <c r="U18" s="24"/>
      <c r="V18" s="24"/>
      <c r="W18" s="24"/>
      <c r="X18" s="24"/>
      <c r="Y18" s="24"/>
      <c r="Z18" s="24"/>
      <c r="AA18" s="24"/>
      <c r="AB18" s="25"/>
      <c r="AC18" s="26"/>
      <c r="AD18" s="26"/>
      <c r="AE18" s="11"/>
      <c r="AF18" s="11"/>
      <c r="AG18" s="11"/>
      <c r="AH18" s="11"/>
      <c r="AI18" s="11"/>
    </row>
    <row r="19" spans="1:35" s="43" customFormat="1" ht="12" customHeight="1">
      <c r="A19" s="70"/>
      <c r="B19" s="63" t="s">
        <v>142</v>
      </c>
      <c r="C19" s="70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"/>
      <c r="Q19" s="7"/>
      <c r="R19" s="22"/>
      <c r="S19" s="23"/>
      <c r="T19" s="24"/>
      <c r="U19" s="24"/>
      <c r="V19" s="24"/>
      <c r="W19" s="24"/>
      <c r="X19" s="24"/>
      <c r="Y19" s="24"/>
      <c r="Z19" s="24"/>
      <c r="AA19" s="24"/>
      <c r="AB19" s="25"/>
      <c r="AC19" s="26"/>
      <c r="AD19" s="26"/>
      <c r="AE19" s="11"/>
      <c r="AF19" s="11"/>
      <c r="AG19" s="11"/>
      <c r="AH19" s="11"/>
      <c r="AI19" s="11"/>
    </row>
    <row r="20" spans="1:35" s="43" customFormat="1" ht="13.35" customHeight="1">
      <c r="A20" s="70"/>
      <c r="B20" s="71"/>
      <c r="C20" s="70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"/>
      <c r="Q20" s="7"/>
      <c r="R20" s="22"/>
      <c r="S20" s="23"/>
      <c r="T20" s="24"/>
      <c r="U20" s="24"/>
      <c r="V20" s="24"/>
      <c r="W20" s="24"/>
      <c r="X20" s="24"/>
      <c r="Y20" s="24"/>
      <c r="Z20" s="24"/>
      <c r="AA20" s="24"/>
      <c r="AB20" s="25"/>
      <c r="AC20" s="26"/>
      <c r="AD20" s="26"/>
      <c r="AE20" s="11"/>
      <c r="AF20" s="11"/>
      <c r="AG20" s="11"/>
      <c r="AH20" s="11"/>
      <c r="AI20" s="11"/>
    </row>
    <row r="21" spans="1:35" s="43" customFormat="1" ht="13.35" customHeight="1">
      <c r="A21" s="70"/>
      <c r="B21" s="71"/>
      <c r="C21" s="70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"/>
      <c r="Q21" s="7"/>
      <c r="R21" s="22"/>
      <c r="S21" s="23"/>
      <c r="T21" s="24"/>
      <c r="U21" s="24"/>
      <c r="V21" s="24"/>
      <c r="W21" s="24"/>
      <c r="X21" s="24"/>
      <c r="Y21" s="24"/>
      <c r="Z21" s="24"/>
      <c r="AA21" s="24"/>
      <c r="AB21" s="25"/>
      <c r="AC21" s="26"/>
      <c r="AD21" s="26"/>
      <c r="AE21" s="11"/>
      <c r="AF21" s="11"/>
      <c r="AG21" s="11"/>
      <c r="AH21" s="11"/>
      <c r="AI21" s="11"/>
    </row>
    <row r="22" spans="1:35" s="43" customFormat="1" ht="13.35" customHeight="1">
      <c r="A22" s="70"/>
      <c r="B22" s="71"/>
      <c r="C22" s="70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"/>
      <c r="Q22" s="7"/>
      <c r="R22" s="22"/>
      <c r="S22" s="23"/>
      <c r="T22" s="24"/>
      <c r="U22" s="24"/>
      <c r="V22" s="24"/>
      <c r="W22" s="24"/>
      <c r="X22" s="24"/>
      <c r="Y22" s="24"/>
      <c r="Z22" s="24"/>
      <c r="AA22" s="24"/>
      <c r="AB22" s="25"/>
      <c r="AC22" s="26"/>
      <c r="AD22" s="26"/>
      <c r="AE22" s="11"/>
      <c r="AF22" s="11"/>
      <c r="AG22" s="11"/>
      <c r="AH22" s="11"/>
      <c r="AI22" s="11"/>
    </row>
    <row r="23" spans="1:35" s="43" customFormat="1" ht="13.35" customHeight="1">
      <c r="A23" s="70"/>
      <c r="B23" s="71"/>
      <c r="C23" s="70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"/>
      <c r="Q23" s="7"/>
      <c r="R23" s="22"/>
      <c r="S23" s="23"/>
      <c r="T23" s="24"/>
      <c r="U23" s="24"/>
      <c r="V23" s="24"/>
      <c r="W23" s="24"/>
      <c r="X23" s="24"/>
      <c r="Y23" s="24"/>
      <c r="Z23" s="24"/>
      <c r="AA23" s="24"/>
      <c r="AB23" s="25"/>
      <c r="AC23" s="26"/>
      <c r="AD23" s="26"/>
      <c r="AE23" s="11"/>
      <c r="AF23" s="11"/>
      <c r="AG23" s="11"/>
      <c r="AH23" s="11"/>
      <c r="AI23" s="11"/>
    </row>
    <row r="24" spans="1:35" s="43" customFormat="1" ht="13.35" customHeight="1">
      <c r="A24" s="70"/>
      <c r="B24" s="71"/>
      <c r="C24" s="70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"/>
      <c r="Q24" s="7"/>
      <c r="R24" s="22"/>
      <c r="S24" s="23"/>
      <c r="T24" s="24"/>
      <c r="U24" s="24"/>
      <c r="V24" s="24"/>
      <c r="W24" s="24"/>
      <c r="X24" s="24"/>
      <c r="Y24" s="24"/>
      <c r="Z24" s="24"/>
      <c r="AA24" s="24"/>
      <c r="AB24" s="25"/>
      <c r="AC24" s="26"/>
      <c r="AD24" s="26"/>
      <c r="AE24" s="11"/>
      <c r="AF24" s="11"/>
      <c r="AG24" s="11"/>
      <c r="AH24" s="11"/>
      <c r="AI24" s="11"/>
    </row>
    <row r="25" spans="1:35" s="43" customFormat="1" ht="13.35" customHeight="1">
      <c r="A25" s="70"/>
      <c r="B25" s="71"/>
      <c r="C25" s="70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"/>
      <c r="Q25" s="7"/>
      <c r="R25" s="22"/>
      <c r="S25" s="23"/>
      <c r="T25" s="24"/>
      <c r="U25" s="24"/>
      <c r="V25" s="24"/>
      <c r="W25" s="24"/>
      <c r="X25" s="24"/>
      <c r="Y25" s="24"/>
      <c r="Z25" s="24"/>
      <c r="AA25" s="24"/>
      <c r="AB25" s="25"/>
      <c r="AC25" s="26"/>
      <c r="AD25" s="26"/>
      <c r="AE25" s="11"/>
      <c r="AF25" s="11"/>
      <c r="AG25" s="11"/>
      <c r="AH25" s="11"/>
      <c r="AI25" s="11"/>
    </row>
    <row r="26" spans="1:35" s="29" customFormat="1" ht="13.35" customHeight="1"/>
    <row r="27" spans="1:35" s="29" customFormat="1" ht="13.35" customHeight="1"/>
    <row r="28" spans="1:35" s="29" customFormat="1" ht="13.35" customHeight="1"/>
    <row r="29" spans="1:35" s="29" customFormat="1" ht="13.35" customHeight="1"/>
    <row r="30" spans="1:35" s="29" customFormat="1" ht="13.35" customHeight="1"/>
    <row r="31" spans="1:35" s="29" customFormat="1" ht="13.35" customHeight="1"/>
    <row r="32" spans="1:35" s="29" customFormat="1" ht="13.35" customHeight="1"/>
    <row r="33" spans="3:11" s="29" customFormat="1" ht="13.35" customHeight="1"/>
    <row r="34" spans="3:11" s="29" customFormat="1" ht="13.35" customHeight="1">
      <c r="K34" s="14"/>
    </row>
    <row r="35" spans="3:11" s="29" customFormat="1" ht="13.35" customHeight="1">
      <c r="C35" s="14"/>
      <c r="K35" s="14"/>
    </row>
    <row r="36" spans="3:11" s="29" customFormat="1" ht="13.35" customHeight="1">
      <c r="C36" s="14"/>
      <c r="K36" s="14"/>
    </row>
    <row r="37" spans="3:11" s="29" customFormat="1" ht="13.35" customHeight="1">
      <c r="C37" s="14"/>
      <c r="K37" s="14"/>
    </row>
    <row r="38" spans="3:11" s="29" customFormat="1" ht="13.35" customHeight="1">
      <c r="C38" s="14"/>
      <c r="K38" s="14"/>
    </row>
    <row r="39" spans="3:11" s="29" customFormat="1" ht="13.35" customHeight="1">
      <c r="C39" s="14"/>
    </row>
    <row r="40" spans="3:11" s="29" customFormat="1" ht="13.35" customHeight="1">
      <c r="C40" s="14"/>
    </row>
    <row r="41" spans="3:11" s="29" customFormat="1" ht="13.35" customHeight="1"/>
    <row r="42" spans="3:11" s="29" customFormat="1" ht="13.35" customHeight="1"/>
    <row r="43" spans="3:11" s="29" customFormat="1" ht="13.35" customHeight="1"/>
    <row r="44" spans="3:11" s="29" customFormat="1" ht="13.35" customHeight="1"/>
    <row r="45" spans="3:11" s="29" customFormat="1" ht="13.35" customHeight="1"/>
    <row r="46" spans="3:11" s="29" customFormat="1" ht="13.35" customHeight="1"/>
    <row r="47" spans="3:11" s="29" customFormat="1" ht="13.35" customHeight="1"/>
    <row r="48" spans="3:11" s="29" customFormat="1" ht="13.35" customHeight="1"/>
    <row r="49" s="29" customFormat="1" ht="13.35" customHeight="1"/>
    <row r="50" s="29" customFormat="1" ht="13.35" customHeight="1"/>
    <row r="51" s="29" customFormat="1" ht="13.35" customHeight="1"/>
    <row r="52" s="29" customFormat="1" ht="13.35" customHeight="1"/>
    <row r="53" s="29" customFormat="1" ht="13.35" customHeight="1"/>
    <row r="54" s="29" customFormat="1" ht="13.35" customHeight="1"/>
    <row r="55" s="29" customFormat="1" ht="13.35" customHeight="1"/>
    <row r="56" s="29" customFormat="1" ht="13.35" customHeight="1"/>
    <row r="57" s="29" customFormat="1" ht="13.35" customHeight="1"/>
    <row r="58" s="29" customFormat="1" ht="13.35" customHeight="1"/>
    <row r="59" s="29" customFormat="1" ht="13.35" customHeight="1"/>
    <row r="60" s="29" customFormat="1" ht="13.35" customHeight="1"/>
    <row r="61" s="29" customFormat="1" ht="13.35" customHeight="1"/>
    <row r="62" s="29" customFormat="1" ht="13.35" customHeight="1"/>
    <row r="63" s="29" customFormat="1" ht="13.35" customHeight="1"/>
    <row r="64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pans="2:8" s="29" customFormat="1" ht="13.35" customHeight="1"/>
    <row r="3282" spans="2:8" s="29" customFormat="1" ht="13.35" customHeight="1"/>
    <row r="3283" spans="2:8" s="29" customFormat="1" ht="13.35" customHeight="1"/>
    <row r="3284" spans="2:8" s="29" customFormat="1" ht="13.35" customHeight="1"/>
    <row r="3285" spans="2:8" s="29" customFormat="1" ht="13.35" customHeight="1"/>
    <row r="3286" spans="2:8" s="29" customFormat="1" ht="13.35" customHeight="1"/>
    <row r="3287" spans="2:8" s="29" customFormat="1" ht="13.35" customHeight="1"/>
    <row r="3288" spans="2:8" s="29" customFormat="1" ht="13.35" customHeight="1"/>
    <row r="3289" spans="2:8" s="29" customFormat="1" ht="13.35" customHeight="1"/>
    <row r="3290" spans="2:8" s="29" customFormat="1" ht="13.35" customHeight="1"/>
    <row r="3291" spans="2:8" s="29" customFormat="1" ht="13.35" customHeight="1"/>
    <row r="3292" spans="2:8" s="29" customFormat="1" ht="13.35" customHeight="1"/>
    <row r="3293" spans="2:8" s="29" customFormat="1" ht="13.35" customHeight="1"/>
    <row r="3294" spans="2:8" s="29" customFormat="1" ht="13.35" customHeight="1"/>
    <row r="3295" spans="2:8">
      <c r="B3295" s="29"/>
      <c r="C3295" s="29"/>
      <c r="D3295" s="29"/>
      <c r="E3295" s="29"/>
      <c r="F3295" s="29"/>
      <c r="G3295" s="29"/>
      <c r="H3295" s="29"/>
    </row>
  </sheetData>
  <mergeCells count="2">
    <mergeCell ref="B3:C3"/>
    <mergeCell ref="B11:C11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86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4" enableFormatConditionsCalculation="0">
    <tabColor theme="3"/>
    <pageSetUpPr fitToPage="1"/>
  </sheetPr>
  <dimension ref="A1:AI3329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115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v>13886</v>
      </c>
      <c r="E4" s="16">
        <v>1397</v>
      </c>
      <c r="F4" s="16">
        <v>-427</v>
      </c>
      <c r="G4" s="15">
        <v>15110</v>
      </c>
      <c r="H4" s="16">
        <v>1536</v>
      </c>
      <c r="I4" s="16">
        <v>-546</v>
      </c>
      <c r="J4" s="15">
        <v>13818</v>
      </c>
      <c r="K4" s="16">
        <v>1560</v>
      </c>
      <c r="L4" s="16">
        <v>-463</v>
      </c>
      <c r="M4" s="15">
        <v>12858</v>
      </c>
      <c r="N4" s="16">
        <v>1646</v>
      </c>
      <c r="O4" s="17">
        <v>-392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v>13735</v>
      </c>
      <c r="E5" s="16">
        <v>816</v>
      </c>
      <c r="F5" s="16">
        <v>-832</v>
      </c>
      <c r="G5" s="15">
        <v>13657</v>
      </c>
      <c r="H5" s="16">
        <v>922</v>
      </c>
      <c r="I5" s="16">
        <v>-958</v>
      </c>
      <c r="J5" s="15">
        <v>12973</v>
      </c>
      <c r="K5" s="16">
        <v>932</v>
      </c>
      <c r="L5" s="16">
        <v>-934</v>
      </c>
      <c r="M5" s="15">
        <v>12617</v>
      </c>
      <c r="N5" s="16">
        <v>959</v>
      </c>
      <c r="O5" s="17">
        <v>-887</v>
      </c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v>904</v>
      </c>
      <c r="E6" s="16">
        <v>89</v>
      </c>
      <c r="F6" s="16">
        <v>-22</v>
      </c>
      <c r="G6" s="15">
        <v>889</v>
      </c>
      <c r="H6" s="16">
        <v>97</v>
      </c>
      <c r="I6" s="16">
        <v>-25</v>
      </c>
      <c r="J6" s="15">
        <v>792</v>
      </c>
      <c r="K6" s="16">
        <v>89</v>
      </c>
      <c r="L6" s="16">
        <v>-10</v>
      </c>
      <c r="M6" s="15">
        <v>740</v>
      </c>
      <c r="N6" s="16">
        <v>89</v>
      </c>
      <c r="O6" s="17">
        <v>-11</v>
      </c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v>7181</v>
      </c>
      <c r="E7" s="16">
        <v>529</v>
      </c>
      <c r="F7" s="16">
        <v>-180</v>
      </c>
      <c r="G7" s="15">
        <v>7086</v>
      </c>
      <c r="H7" s="16">
        <v>567</v>
      </c>
      <c r="I7" s="16">
        <v>-183</v>
      </c>
      <c r="J7" s="15">
        <v>6534</v>
      </c>
      <c r="K7" s="16">
        <v>576</v>
      </c>
      <c r="L7" s="16">
        <v>-140</v>
      </c>
      <c r="M7" s="15">
        <v>5999</v>
      </c>
      <c r="N7" s="16">
        <v>625</v>
      </c>
      <c r="O7" s="17">
        <v>-141</v>
      </c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v>1487</v>
      </c>
      <c r="E8" s="16">
        <v>179</v>
      </c>
      <c r="F8" s="16">
        <v>-38</v>
      </c>
      <c r="G8" s="15">
        <v>1467</v>
      </c>
      <c r="H8" s="16">
        <v>196</v>
      </c>
      <c r="I8" s="16">
        <v>-45</v>
      </c>
      <c r="J8" s="15">
        <v>1428</v>
      </c>
      <c r="K8" s="16">
        <v>203</v>
      </c>
      <c r="L8" s="16">
        <v>-42</v>
      </c>
      <c r="M8" s="15">
        <v>1362</v>
      </c>
      <c r="N8" s="16">
        <v>224</v>
      </c>
      <c r="O8" s="17">
        <v>-34</v>
      </c>
    </row>
    <row r="9" spans="1:35" ht="13.35" customHeight="1">
      <c r="A9" s="13"/>
      <c r="B9" s="14" t="s">
        <v>64</v>
      </c>
      <c r="C9" s="14"/>
      <c r="D9" s="15">
        <v>796</v>
      </c>
      <c r="E9" s="16">
        <v>83</v>
      </c>
      <c r="F9" s="16">
        <v>-10</v>
      </c>
      <c r="G9" s="15">
        <v>758</v>
      </c>
      <c r="H9" s="16">
        <v>79</v>
      </c>
      <c r="I9" s="16">
        <v>-14</v>
      </c>
      <c r="J9" s="15">
        <v>674</v>
      </c>
      <c r="K9" s="16">
        <v>82</v>
      </c>
      <c r="L9" s="16">
        <v>-9</v>
      </c>
      <c r="M9" s="15">
        <v>624</v>
      </c>
      <c r="N9" s="16">
        <v>88</v>
      </c>
      <c r="O9" s="17">
        <v>-10</v>
      </c>
    </row>
    <row r="10" spans="1:35" ht="13.35" customHeight="1">
      <c r="A10" s="13"/>
      <c r="B10" s="14" t="s">
        <v>84</v>
      </c>
      <c r="C10" s="14"/>
      <c r="D10" s="15">
        <v>208</v>
      </c>
      <c r="E10" s="16">
        <v>11</v>
      </c>
      <c r="F10" s="16">
        <v>-6</v>
      </c>
      <c r="G10" s="15">
        <v>212</v>
      </c>
      <c r="H10" s="16">
        <v>18</v>
      </c>
      <c r="I10" s="16">
        <v>-8</v>
      </c>
      <c r="J10" s="15">
        <v>200</v>
      </c>
      <c r="K10" s="16">
        <v>16</v>
      </c>
      <c r="L10" s="16">
        <v>-4</v>
      </c>
      <c r="M10" s="15">
        <v>194</v>
      </c>
      <c r="N10" s="16">
        <v>16</v>
      </c>
      <c r="O10" s="17">
        <v>-6</v>
      </c>
    </row>
    <row r="11" spans="1:35" s="29" customFormat="1" ht="13.35" customHeight="1">
      <c r="A11" s="27"/>
      <c r="B11" s="28" t="s">
        <v>1</v>
      </c>
      <c r="C11" s="28"/>
      <c r="D11" s="15">
        <v>14928</v>
      </c>
      <c r="E11" s="16">
        <v>1557</v>
      </c>
      <c r="F11" s="16">
        <v>-485</v>
      </c>
      <c r="G11" s="15">
        <v>15091</v>
      </c>
      <c r="H11" s="16">
        <v>1662</v>
      </c>
      <c r="I11" s="16">
        <v>-463</v>
      </c>
      <c r="J11" s="15">
        <v>13699</v>
      </c>
      <c r="K11" s="16">
        <v>1556</v>
      </c>
      <c r="L11" s="16">
        <v>-309</v>
      </c>
      <c r="M11" s="15">
        <v>12561</v>
      </c>
      <c r="N11" s="16">
        <v>1553</v>
      </c>
      <c r="O11" s="17">
        <v>-278</v>
      </c>
    </row>
    <row r="12" spans="1:35" s="29" customFormat="1" ht="13.35" customHeight="1">
      <c r="A12" s="27"/>
      <c r="B12" s="28" t="s">
        <v>65</v>
      </c>
      <c r="C12" s="28"/>
      <c r="D12" s="15">
        <v>906</v>
      </c>
      <c r="E12" s="16">
        <v>82</v>
      </c>
      <c r="F12" s="16">
        <v>-25</v>
      </c>
      <c r="G12" s="15">
        <v>913</v>
      </c>
      <c r="H12" s="16">
        <v>98</v>
      </c>
      <c r="I12" s="16">
        <v>-25</v>
      </c>
      <c r="J12" s="15">
        <v>852</v>
      </c>
      <c r="K12" s="16">
        <v>98</v>
      </c>
      <c r="L12" s="16">
        <v>-47</v>
      </c>
      <c r="M12" s="15">
        <v>780</v>
      </c>
      <c r="N12" s="16">
        <v>97</v>
      </c>
      <c r="O12" s="17">
        <v>-23</v>
      </c>
    </row>
    <row r="13" spans="1:35" s="29" customFormat="1" ht="13.35" customHeight="1">
      <c r="A13" s="27"/>
      <c r="B13" s="30" t="s">
        <v>85</v>
      </c>
      <c r="C13" s="30"/>
      <c r="D13" s="15">
        <v>430</v>
      </c>
      <c r="E13" s="16">
        <v>37</v>
      </c>
      <c r="F13" s="16">
        <v>-8</v>
      </c>
      <c r="G13" s="15">
        <v>492</v>
      </c>
      <c r="H13" s="16">
        <v>39</v>
      </c>
      <c r="I13" s="16">
        <v>-19</v>
      </c>
      <c r="J13" s="15">
        <v>467</v>
      </c>
      <c r="K13" s="16">
        <v>48</v>
      </c>
      <c r="L13" s="16">
        <v>-24</v>
      </c>
      <c r="M13" s="15">
        <v>448</v>
      </c>
      <c r="N13" s="16">
        <v>47</v>
      </c>
      <c r="O13" s="17">
        <v>-15</v>
      </c>
    </row>
    <row r="14" spans="1:35" s="29" customFormat="1" ht="13.35" customHeight="1">
      <c r="A14" s="27"/>
      <c r="B14" s="30" t="s">
        <v>86</v>
      </c>
      <c r="C14" s="30"/>
      <c r="D14" s="15">
        <v>69863</v>
      </c>
      <c r="E14" s="16">
        <f>7268+16</f>
        <v>7284</v>
      </c>
      <c r="F14" s="16">
        <f>-2879-17</f>
        <v>-2896</v>
      </c>
      <c r="G14" s="15">
        <v>71970</v>
      </c>
      <c r="H14" s="16">
        <f>7902+19</f>
        <v>7921</v>
      </c>
      <c r="I14" s="16">
        <f>-3145-17</f>
        <v>-3162</v>
      </c>
      <c r="J14" s="15">
        <v>66899</v>
      </c>
      <c r="K14" s="16">
        <f>7782+18</f>
        <v>7800</v>
      </c>
      <c r="L14" s="16">
        <f>-2241-17</f>
        <v>-2258</v>
      </c>
      <c r="M14" s="15">
        <v>63764</v>
      </c>
      <c r="N14" s="16">
        <f>8414+16</f>
        <v>8430</v>
      </c>
      <c r="O14" s="17">
        <f>-1949-14</f>
        <v>-1963</v>
      </c>
    </row>
    <row r="15" spans="1:35" s="29" customFormat="1" ht="13.35" customHeight="1">
      <c r="A15" s="27"/>
      <c r="B15" s="30" t="s">
        <v>66</v>
      </c>
      <c r="C15" s="30"/>
      <c r="D15" s="15">
        <v>1428</v>
      </c>
      <c r="E15" s="16">
        <v>107</v>
      </c>
      <c r="F15" s="16">
        <v>-55</v>
      </c>
      <c r="G15" s="15">
        <v>1439</v>
      </c>
      <c r="H15" s="16">
        <v>119</v>
      </c>
      <c r="I15" s="16">
        <v>-59</v>
      </c>
      <c r="J15" s="15">
        <v>1352</v>
      </c>
      <c r="K15" s="16">
        <v>122</v>
      </c>
      <c r="L15" s="16">
        <v>-48</v>
      </c>
      <c r="M15" s="15">
        <v>1267</v>
      </c>
      <c r="N15" s="16">
        <v>134</v>
      </c>
      <c r="O15" s="17">
        <v>-51</v>
      </c>
    </row>
    <row r="16" spans="1:35" s="29" customFormat="1" ht="13.35" customHeight="1">
      <c r="A16" s="27"/>
      <c r="B16" s="30" t="s">
        <v>87</v>
      </c>
      <c r="C16" s="30"/>
      <c r="D16" s="15">
        <v>144</v>
      </c>
      <c r="E16" s="16">
        <v>14</v>
      </c>
      <c r="F16" s="16">
        <v>-5</v>
      </c>
      <c r="G16" s="15">
        <v>144</v>
      </c>
      <c r="H16" s="16">
        <v>13</v>
      </c>
      <c r="I16" s="16">
        <v>-5</v>
      </c>
      <c r="J16" s="15">
        <v>137</v>
      </c>
      <c r="K16" s="16">
        <v>14</v>
      </c>
      <c r="L16" s="16">
        <v>-6</v>
      </c>
      <c r="M16" s="15">
        <v>125</v>
      </c>
      <c r="N16" s="16">
        <v>15</v>
      </c>
      <c r="O16" s="17">
        <v>-5</v>
      </c>
    </row>
    <row r="17" spans="1:15" s="29" customFormat="1" ht="13.35" customHeight="1">
      <c r="A17" s="27"/>
      <c r="B17" s="30" t="s">
        <v>67</v>
      </c>
      <c r="C17" s="30"/>
      <c r="D17" s="15">
        <v>3713</v>
      </c>
      <c r="E17" s="16">
        <v>451</v>
      </c>
      <c r="F17" s="16">
        <v>-65</v>
      </c>
      <c r="G17" s="15">
        <v>3661</v>
      </c>
      <c r="H17" s="16">
        <v>499</v>
      </c>
      <c r="I17" s="16">
        <v>-89</v>
      </c>
      <c r="J17" s="15">
        <v>3430</v>
      </c>
      <c r="K17" s="16">
        <v>490</v>
      </c>
      <c r="L17" s="16">
        <v>-61</v>
      </c>
      <c r="M17" s="15">
        <v>3283</v>
      </c>
      <c r="N17" s="16">
        <v>522</v>
      </c>
      <c r="O17" s="17">
        <v>-51</v>
      </c>
    </row>
    <row r="18" spans="1:15" s="29" customFormat="1" ht="13.35" customHeight="1">
      <c r="A18" s="27"/>
      <c r="B18" s="30" t="s">
        <v>88</v>
      </c>
      <c r="C18" s="30"/>
      <c r="D18" s="15">
        <v>7310</v>
      </c>
      <c r="E18" s="16">
        <v>855</v>
      </c>
      <c r="F18" s="16">
        <v>-43</v>
      </c>
      <c r="G18" s="15">
        <v>7317</v>
      </c>
      <c r="H18" s="16">
        <v>955</v>
      </c>
      <c r="I18" s="16">
        <v>-46</v>
      </c>
      <c r="J18" s="15">
        <v>7031</v>
      </c>
      <c r="K18" s="16">
        <v>1046</v>
      </c>
      <c r="L18" s="16">
        <v>-38</v>
      </c>
      <c r="M18" s="15">
        <v>6630</v>
      </c>
      <c r="N18" s="16">
        <v>1144</v>
      </c>
      <c r="O18" s="17">
        <v>-36</v>
      </c>
    </row>
    <row r="19" spans="1:15" s="29" customFormat="1" ht="13.35" customHeight="1">
      <c r="A19" s="27"/>
      <c r="B19" s="30" t="s">
        <v>139</v>
      </c>
      <c r="C19" s="30"/>
      <c r="D19" s="15">
        <v>3075</v>
      </c>
      <c r="E19" s="16">
        <v>445</v>
      </c>
      <c r="F19" s="16">
        <v>-55</v>
      </c>
      <c r="G19" s="15">
        <v>3077</v>
      </c>
      <c r="H19" s="16">
        <v>499</v>
      </c>
      <c r="I19" s="16">
        <v>-69</v>
      </c>
      <c r="J19" s="15">
        <v>2862</v>
      </c>
      <c r="K19" s="16">
        <v>457</v>
      </c>
      <c r="L19" s="16">
        <v>-40</v>
      </c>
      <c r="M19" s="15">
        <v>2702</v>
      </c>
      <c r="N19" s="16">
        <v>461</v>
      </c>
      <c r="O19" s="17">
        <v>-38</v>
      </c>
    </row>
    <row r="20" spans="1:15" s="29" customFormat="1" ht="13.35" customHeight="1">
      <c r="A20" s="27"/>
      <c r="B20" s="30" t="s">
        <v>68</v>
      </c>
      <c r="C20" s="30"/>
      <c r="D20" s="15">
        <v>756</v>
      </c>
      <c r="E20" s="16">
        <v>115</v>
      </c>
      <c r="F20" s="16">
        <v>-103</v>
      </c>
      <c r="G20" s="15">
        <v>792</v>
      </c>
      <c r="H20" s="16">
        <v>151</v>
      </c>
      <c r="I20" s="16">
        <v>-108</v>
      </c>
      <c r="J20" s="15">
        <v>708</v>
      </c>
      <c r="K20" s="16">
        <v>117</v>
      </c>
      <c r="L20" s="16">
        <v>-123</v>
      </c>
      <c r="M20" s="15">
        <v>689</v>
      </c>
      <c r="N20" s="16">
        <v>135</v>
      </c>
      <c r="O20" s="17">
        <v>-60</v>
      </c>
    </row>
    <row r="21" spans="1:15" s="29" customFormat="1" ht="13.35" customHeight="1">
      <c r="A21" s="27"/>
      <c r="B21" s="30" t="s">
        <v>69</v>
      </c>
      <c r="C21" s="30"/>
      <c r="D21" s="15">
        <v>1447</v>
      </c>
      <c r="E21" s="16">
        <v>152</v>
      </c>
      <c r="F21" s="16">
        <v>-29</v>
      </c>
      <c r="G21" s="15">
        <v>1449</v>
      </c>
      <c r="H21" s="16">
        <v>160</v>
      </c>
      <c r="I21" s="16">
        <v>-31</v>
      </c>
      <c r="J21" s="15">
        <v>1367</v>
      </c>
      <c r="K21" s="16">
        <v>155</v>
      </c>
      <c r="L21" s="16">
        <v>-26</v>
      </c>
      <c r="M21" s="15">
        <v>1302</v>
      </c>
      <c r="N21" s="16">
        <v>166</v>
      </c>
      <c r="O21" s="17">
        <v>-23</v>
      </c>
    </row>
    <row r="22" spans="1:15" s="29" customFormat="1" ht="13.35" customHeight="1">
      <c r="A22" s="27"/>
      <c r="B22" s="30" t="s">
        <v>70</v>
      </c>
      <c r="C22" s="30"/>
      <c r="D22" s="15">
        <v>1908</v>
      </c>
      <c r="E22" s="16">
        <v>226</v>
      </c>
      <c r="F22" s="16">
        <v>-25</v>
      </c>
      <c r="G22" s="15">
        <v>1887</v>
      </c>
      <c r="H22" s="16">
        <v>229</v>
      </c>
      <c r="I22" s="16">
        <v>-24</v>
      </c>
      <c r="J22" s="15">
        <v>1743</v>
      </c>
      <c r="K22" s="16">
        <v>228</v>
      </c>
      <c r="L22" s="16">
        <v>-26</v>
      </c>
      <c r="M22" s="15">
        <v>1644</v>
      </c>
      <c r="N22" s="16">
        <v>238</v>
      </c>
      <c r="O22" s="17">
        <v>-18</v>
      </c>
    </row>
    <row r="23" spans="1:15" s="29" customFormat="1" ht="13.35" customHeight="1">
      <c r="A23" s="27"/>
      <c r="B23" s="30" t="s">
        <v>71</v>
      </c>
      <c r="C23" s="30"/>
      <c r="D23" s="15">
        <v>2154</v>
      </c>
      <c r="E23" s="16">
        <v>144</v>
      </c>
      <c r="F23" s="16">
        <v>-18</v>
      </c>
      <c r="G23" s="15">
        <v>2102</v>
      </c>
      <c r="H23" s="16">
        <v>154</v>
      </c>
      <c r="I23" s="16">
        <v>-15</v>
      </c>
      <c r="J23" s="15">
        <v>1887</v>
      </c>
      <c r="K23" s="16">
        <v>146</v>
      </c>
      <c r="L23" s="16">
        <v>-11</v>
      </c>
      <c r="M23" s="15">
        <v>1624</v>
      </c>
      <c r="N23" s="16">
        <v>149</v>
      </c>
      <c r="O23" s="17">
        <v>-11</v>
      </c>
    </row>
    <row r="24" spans="1:15" s="29" customFormat="1" ht="13.35" customHeight="1">
      <c r="A24" s="27"/>
      <c r="B24" s="30" t="s">
        <v>103</v>
      </c>
      <c r="C24" s="30"/>
      <c r="D24" s="15">
        <v>74</v>
      </c>
      <c r="E24" s="16">
        <v>11</v>
      </c>
      <c r="F24" s="16">
        <v>-60</v>
      </c>
      <c r="G24" s="15">
        <v>76</v>
      </c>
      <c r="H24" s="16">
        <v>7</v>
      </c>
      <c r="I24" s="16">
        <v>-68</v>
      </c>
      <c r="J24" s="15">
        <v>68</v>
      </c>
      <c r="K24" s="16">
        <v>8</v>
      </c>
      <c r="L24" s="16">
        <v>-54</v>
      </c>
      <c r="M24" s="15">
        <v>79</v>
      </c>
      <c r="N24" s="16">
        <v>27</v>
      </c>
      <c r="O24" s="17">
        <v>-113</v>
      </c>
    </row>
    <row r="25" spans="1:15" s="29" customFormat="1" ht="13.35" customHeight="1">
      <c r="A25" s="27"/>
      <c r="B25" s="30" t="s">
        <v>89</v>
      </c>
      <c r="C25" s="30"/>
      <c r="D25" s="15">
        <v>1697</v>
      </c>
      <c r="E25" s="16">
        <v>176</v>
      </c>
      <c r="F25" s="16">
        <v>-61</v>
      </c>
      <c r="G25" s="15">
        <v>1686</v>
      </c>
      <c r="H25" s="16">
        <v>182</v>
      </c>
      <c r="I25" s="16">
        <v>-63</v>
      </c>
      <c r="J25" s="15">
        <v>1557</v>
      </c>
      <c r="K25" s="16">
        <v>189</v>
      </c>
      <c r="L25" s="16">
        <v>-63</v>
      </c>
      <c r="M25" s="15">
        <v>1444</v>
      </c>
      <c r="N25" s="16">
        <v>211</v>
      </c>
      <c r="O25" s="17">
        <v>-56</v>
      </c>
    </row>
    <row r="26" spans="1:15" s="29" customFormat="1" ht="13.35" customHeight="1">
      <c r="A26" s="27"/>
      <c r="B26" s="30" t="s">
        <v>72</v>
      </c>
      <c r="C26" s="30"/>
      <c r="D26" s="15">
        <v>259</v>
      </c>
      <c r="E26" s="16">
        <v>32</v>
      </c>
      <c r="F26" s="16">
        <v>-6</v>
      </c>
      <c r="G26" s="15">
        <v>264</v>
      </c>
      <c r="H26" s="16">
        <v>38</v>
      </c>
      <c r="I26" s="16">
        <v>-12</v>
      </c>
      <c r="J26" s="15">
        <v>254</v>
      </c>
      <c r="K26" s="16">
        <v>39</v>
      </c>
      <c r="L26" s="16">
        <v>-12</v>
      </c>
      <c r="M26" s="15">
        <v>239</v>
      </c>
      <c r="N26" s="16">
        <v>42</v>
      </c>
      <c r="O26" s="17">
        <v>-9</v>
      </c>
    </row>
    <row r="27" spans="1:15" s="29" customFormat="1" ht="13.35" customHeight="1">
      <c r="A27" s="27"/>
      <c r="B27" s="30" t="s">
        <v>73</v>
      </c>
      <c r="C27" s="30"/>
      <c r="D27" s="15">
        <v>21247</v>
      </c>
      <c r="E27" s="16">
        <v>1182</v>
      </c>
      <c r="F27" s="16">
        <v>-328</v>
      </c>
      <c r="G27" s="15">
        <v>20785</v>
      </c>
      <c r="H27" s="16">
        <v>1266</v>
      </c>
      <c r="I27" s="16">
        <v>-341</v>
      </c>
      <c r="J27" s="15">
        <v>18924</v>
      </c>
      <c r="K27" s="16">
        <v>1270</v>
      </c>
      <c r="L27" s="16">
        <v>-288</v>
      </c>
      <c r="M27" s="15">
        <v>17504</v>
      </c>
      <c r="N27" s="16">
        <v>1336</v>
      </c>
      <c r="O27" s="17">
        <v>-262</v>
      </c>
    </row>
    <row r="28" spans="1:15" s="29" customFormat="1" ht="13.35" customHeight="1">
      <c r="A28" s="27"/>
      <c r="B28" s="30" t="s">
        <v>74</v>
      </c>
      <c r="C28" s="30"/>
      <c r="D28" s="15">
        <v>312</v>
      </c>
      <c r="E28" s="16">
        <v>37</v>
      </c>
      <c r="F28" s="16">
        <v>-6</v>
      </c>
      <c r="G28" s="15">
        <v>303</v>
      </c>
      <c r="H28" s="16">
        <v>41</v>
      </c>
      <c r="I28" s="16">
        <v>-9</v>
      </c>
      <c r="J28" s="15">
        <v>290</v>
      </c>
      <c r="K28" s="16">
        <v>43</v>
      </c>
      <c r="L28" s="16">
        <v>-7</v>
      </c>
      <c r="M28" s="15">
        <v>293</v>
      </c>
      <c r="N28" s="16">
        <v>54</v>
      </c>
      <c r="O28" s="17">
        <v>-7</v>
      </c>
    </row>
    <row r="29" spans="1:15" s="29" customFormat="1" ht="13.35" customHeight="1">
      <c r="A29" s="27"/>
      <c r="B29" s="30" t="s">
        <v>75</v>
      </c>
      <c r="C29" s="30"/>
      <c r="D29" s="15">
        <v>1219</v>
      </c>
      <c r="E29" s="16">
        <v>85</v>
      </c>
      <c r="F29" s="16">
        <v>-74</v>
      </c>
      <c r="G29" s="15">
        <v>1245</v>
      </c>
      <c r="H29" s="16">
        <v>93</v>
      </c>
      <c r="I29" s="16">
        <v>-82</v>
      </c>
      <c r="J29" s="15">
        <v>1194</v>
      </c>
      <c r="K29" s="16">
        <v>96</v>
      </c>
      <c r="L29" s="16">
        <v>-97</v>
      </c>
      <c r="M29" s="15">
        <v>1179</v>
      </c>
      <c r="N29" s="16">
        <v>105</v>
      </c>
      <c r="O29" s="17">
        <v>-103</v>
      </c>
    </row>
    <row r="30" spans="1:15" s="29" customFormat="1" ht="13.35" customHeight="1">
      <c r="A30" s="27"/>
      <c r="B30" s="30" t="s">
        <v>90</v>
      </c>
      <c r="C30" s="30"/>
      <c r="D30" s="15">
        <v>4353</v>
      </c>
      <c r="E30" s="16">
        <v>363</v>
      </c>
      <c r="F30" s="16">
        <v>-32</v>
      </c>
      <c r="G30" s="15">
        <v>4272</v>
      </c>
      <c r="H30" s="16">
        <v>396</v>
      </c>
      <c r="I30" s="16">
        <v>-35</v>
      </c>
      <c r="J30" s="15">
        <v>3895</v>
      </c>
      <c r="K30" s="16">
        <v>382</v>
      </c>
      <c r="L30" s="16">
        <v>-26</v>
      </c>
      <c r="M30" s="15">
        <v>3632</v>
      </c>
      <c r="N30" s="16">
        <v>399</v>
      </c>
      <c r="O30" s="17">
        <v>-22</v>
      </c>
    </row>
    <row r="31" spans="1:15" s="29" customFormat="1" ht="13.35" customHeight="1">
      <c r="A31" s="27"/>
      <c r="B31" s="30" t="s">
        <v>2</v>
      </c>
      <c r="C31" s="30"/>
      <c r="D31" s="15">
        <v>593</v>
      </c>
      <c r="E31" s="16">
        <v>68</v>
      </c>
      <c r="F31" s="16">
        <v>-10</v>
      </c>
      <c r="G31" s="15">
        <v>568</v>
      </c>
      <c r="H31" s="16">
        <v>66</v>
      </c>
      <c r="I31" s="16">
        <v>-13</v>
      </c>
      <c r="J31" s="15">
        <v>517</v>
      </c>
      <c r="K31" s="16">
        <v>69</v>
      </c>
      <c r="L31" s="16">
        <v>-6</v>
      </c>
      <c r="M31" s="15">
        <v>490</v>
      </c>
      <c r="N31" s="16">
        <v>67</v>
      </c>
      <c r="O31" s="17">
        <v>-5</v>
      </c>
    </row>
    <row r="32" spans="1:15" s="29" customFormat="1" ht="13.35" customHeight="1">
      <c r="A32" s="27"/>
      <c r="B32" s="30" t="s">
        <v>76</v>
      </c>
      <c r="C32" s="30"/>
      <c r="D32" s="15">
        <v>467</v>
      </c>
      <c r="E32" s="16">
        <v>37</v>
      </c>
      <c r="F32" s="16">
        <v>-28</v>
      </c>
      <c r="G32" s="15">
        <v>487</v>
      </c>
      <c r="H32" s="16">
        <v>47</v>
      </c>
      <c r="I32" s="16">
        <v>-23</v>
      </c>
      <c r="J32" s="15">
        <v>432</v>
      </c>
      <c r="K32" s="16">
        <v>48</v>
      </c>
      <c r="L32" s="16">
        <v>-17</v>
      </c>
      <c r="M32" s="15">
        <v>385</v>
      </c>
      <c r="N32" s="16">
        <v>48</v>
      </c>
      <c r="O32" s="17">
        <v>-12</v>
      </c>
    </row>
    <row r="33" spans="1:15" s="29" customFormat="1" ht="13.35" customHeight="1">
      <c r="A33" s="27"/>
      <c r="B33" s="30" t="s">
        <v>77</v>
      </c>
      <c r="C33" s="30"/>
      <c r="D33" s="15">
        <v>6081</v>
      </c>
      <c r="E33" s="16">
        <v>594</v>
      </c>
      <c r="F33" s="16">
        <v>-260</v>
      </c>
      <c r="G33" s="15">
        <v>6158</v>
      </c>
      <c r="H33" s="16">
        <v>686</v>
      </c>
      <c r="I33" s="16">
        <v>-293</v>
      </c>
      <c r="J33" s="15">
        <v>5455</v>
      </c>
      <c r="K33" s="16">
        <v>626</v>
      </c>
      <c r="L33" s="16">
        <v>-234</v>
      </c>
      <c r="M33" s="15">
        <v>5092</v>
      </c>
      <c r="N33" s="16">
        <v>672</v>
      </c>
      <c r="O33" s="17">
        <v>-190</v>
      </c>
    </row>
    <row r="34" spans="1:15" s="33" customFormat="1" ht="13.35" customHeight="1">
      <c r="A34" s="31"/>
      <c r="B34" s="32" t="s">
        <v>91</v>
      </c>
      <c r="C34" s="32"/>
      <c r="D34" s="15">
        <v>2036</v>
      </c>
      <c r="E34" s="16">
        <v>173</v>
      </c>
      <c r="F34" s="16">
        <v>-30</v>
      </c>
      <c r="G34" s="15">
        <v>2044</v>
      </c>
      <c r="H34" s="16">
        <v>185</v>
      </c>
      <c r="I34" s="16">
        <v>-40</v>
      </c>
      <c r="J34" s="15">
        <v>1892</v>
      </c>
      <c r="K34" s="16">
        <v>184</v>
      </c>
      <c r="L34" s="16">
        <v>-25</v>
      </c>
      <c r="M34" s="15">
        <v>1778</v>
      </c>
      <c r="N34" s="16">
        <v>199</v>
      </c>
      <c r="O34" s="17">
        <v>-27</v>
      </c>
    </row>
    <row r="35" spans="1:15" s="33" customFormat="1" ht="13.35" customHeight="1">
      <c r="A35" s="31"/>
      <c r="B35" s="32" t="s">
        <v>78</v>
      </c>
      <c r="C35" s="32"/>
      <c r="D35" s="15">
        <v>10117</v>
      </c>
      <c r="E35" s="16">
        <v>800</v>
      </c>
      <c r="F35" s="16">
        <v>-267</v>
      </c>
      <c r="G35" s="15">
        <v>9843</v>
      </c>
      <c r="H35" s="16">
        <v>860</v>
      </c>
      <c r="I35" s="16">
        <v>-269</v>
      </c>
      <c r="J35" s="15">
        <v>9042</v>
      </c>
      <c r="K35" s="16">
        <v>860</v>
      </c>
      <c r="L35" s="16">
        <v>-261</v>
      </c>
      <c r="M35" s="15">
        <v>8539</v>
      </c>
      <c r="N35" s="16">
        <v>906</v>
      </c>
      <c r="O35" s="17">
        <v>-190</v>
      </c>
    </row>
    <row r="36" spans="1:15" s="33" customFormat="1" ht="13.35" customHeight="1">
      <c r="A36" s="31"/>
      <c r="B36" s="32" t="s">
        <v>92</v>
      </c>
      <c r="C36" s="32"/>
      <c r="D36" s="15">
        <v>1417</v>
      </c>
      <c r="E36" s="16">
        <v>154</v>
      </c>
      <c r="F36" s="16">
        <v>-26</v>
      </c>
      <c r="G36" s="15">
        <v>1367</v>
      </c>
      <c r="H36" s="16">
        <v>152</v>
      </c>
      <c r="I36" s="16">
        <v>-28</v>
      </c>
      <c r="J36" s="15">
        <v>1226</v>
      </c>
      <c r="K36" s="16">
        <v>134</v>
      </c>
      <c r="L36" s="16">
        <v>-23</v>
      </c>
      <c r="M36" s="15">
        <v>1083</v>
      </c>
      <c r="N36" s="16">
        <v>128</v>
      </c>
      <c r="O36" s="17">
        <v>-14</v>
      </c>
    </row>
    <row r="37" spans="1:15" s="33" customFormat="1" ht="13.35" hidden="1" customHeight="1">
      <c r="A37" s="31"/>
      <c r="B37" s="32" t="s">
        <v>42</v>
      </c>
      <c r="C37" s="32"/>
      <c r="D37" s="15">
        <v>0</v>
      </c>
      <c r="E37" s="16">
        <v>0</v>
      </c>
      <c r="F37" s="16">
        <v>0</v>
      </c>
      <c r="G37" s="15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5">
        <v>0</v>
      </c>
      <c r="N37" s="16">
        <v>0</v>
      </c>
      <c r="O37" s="17">
        <v>0</v>
      </c>
    </row>
    <row r="38" spans="1:15" s="29" customFormat="1" ht="13.35" customHeight="1">
      <c r="A38" s="34"/>
      <c r="B38" s="35" t="s">
        <v>0</v>
      </c>
      <c r="C38" s="36"/>
      <c r="D38" s="37">
        <f t="shared" ref="D38:O38" si="0">SUM(D4:D37)</f>
        <v>196131</v>
      </c>
      <c r="E38" s="38">
        <f t="shared" si="0"/>
        <v>18285</v>
      </c>
      <c r="F38" s="38">
        <f t="shared" si="0"/>
        <v>-6515</v>
      </c>
      <c r="G38" s="37">
        <f t="shared" si="0"/>
        <v>198611</v>
      </c>
      <c r="H38" s="38">
        <f t="shared" si="0"/>
        <v>19933</v>
      </c>
      <c r="I38" s="38">
        <f t="shared" si="0"/>
        <v>-7170</v>
      </c>
      <c r="J38" s="37">
        <f t="shared" si="0"/>
        <v>183599</v>
      </c>
      <c r="K38" s="38">
        <f t="shared" si="0"/>
        <v>19683</v>
      </c>
      <c r="L38" s="38">
        <f t="shared" si="0"/>
        <v>-5732</v>
      </c>
      <c r="M38" s="37">
        <f t="shared" si="0"/>
        <v>172950</v>
      </c>
      <c r="N38" s="38">
        <f t="shared" si="0"/>
        <v>20932</v>
      </c>
      <c r="O38" s="39">
        <f t="shared" si="0"/>
        <v>-5063</v>
      </c>
    </row>
    <row r="39" spans="1:15" s="29" customFormat="1" ht="12" hidden="1" customHeight="1">
      <c r="B39" s="63" t="s">
        <v>94</v>
      </c>
    </row>
    <row r="40" spans="1:15" s="29" customFormat="1" ht="13.35" customHeight="1"/>
    <row r="41" spans="1:15" s="29" customFormat="1" ht="13.35" customHeight="1"/>
    <row r="42" spans="1:15" s="29" customFormat="1" ht="13.35" customHeight="1"/>
    <row r="43" spans="1:15" s="29" customFormat="1" ht="13.35" customHeight="1"/>
    <row r="44" spans="1:15" s="29" customFormat="1" ht="13.35" customHeight="1"/>
    <row r="45" spans="1:15" s="29" customFormat="1" ht="13.35" customHeight="1"/>
    <row r="46" spans="1:15" s="29" customFormat="1" ht="13.35" customHeight="1"/>
    <row r="47" spans="1:15" s="29" customFormat="1" ht="13.35" customHeight="1"/>
    <row r="48" spans="1:15" s="29" customFormat="1" ht="13.35" customHeight="1"/>
    <row r="49" s="29" customFormat="1" ht="13.35" customHeight="1"/>
    <row r="50" s="29" customFormat="1" ht="13.35" customHeight="1"/>
    <row r="51" s="29" customFormat="1" ht="13.35" customHeight="1"/>
    <row r="52" s="29" customFormat="1" ht="13.35" customHeight="1"/>
    <row r="53" s="29" customFormat="1" ht="13.35" customHeight="1"/>
    <row r="54" s="29" customFormat="1" ht="13.35" customHeight="1"/>
    <row r="55" s="29" customFormat="1" ht="13.35" customHeight="1"/>
    <row r="56" s="29" customFormat="1" ht="13.35" customHeight="1"/>
    <row r="57" s="29" customFormat="1" ht="13.35" customHeight="1"/>
    <row r="58" s="29" customFormat="1" ht="13.35" customHeight="1"/>
    <row r="59" s="29" customFormat="1" ht="13.35" customHeight="1"/>
    <row r="60" s="29" customFormat="1" ht="13.35" customHeight="1"/>
    <row r="61" s="29" customFormat="1" ht="13.35" customHeight="1"/>
    <row r="62" s="29" customFormat="1" ht="13.35" customHeight="1"/>
    <row r="63" s="29" customFormat="1" ht="13.35" customHeight="1"/>
    <row r="64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="29" customFormat="1" ht="13.35" customHeight="1"/>
    <row r="3298" s="29" customFormat="1" ht="13.35" customHeight="1"/>
    <row r="3299" s="29" customFormat="1" ht="13.35" customHeight="1"/>
    <row r="3300" s="29" customFormat="1" ht="13.35" customHeight="1"/>
    <row r="3301" s="29" customFormat="1" ht="13.35" customHeight="1"/>
    <row r="3302" s="29" customFormat="1" ht="13.35" customHeight="1"/>
    <row r="3303" s="29" customFormat="1" ht="13.35" customHeight="1"/>
    <row r="3304" s="29" customFormat="1" ht="13.35" customHeight="1"/>
    <row r="3305" s="29" customFormat="1" ht="13.35" customHeight="1"/>
    <row r="3306" s="29" customFormat="1" ht="13.35" customHeight="1"/>
    <row r="3307" s="29" customFormat="1" ht="13.35" customHeight="1"/>
    <row r="3308" s="29" customFormat="1" ht="13.35" customHeight="1"/>
    <row r="3309" s="29" customFormat="1" ht="13.35" customHeight="1"/>
    <row r="3310" s="29" customFormat="1" ht="13.35" customHeight="1"/>
    <row r="3311" s="29" customFormat="1" ht="13.35" customHeight="1"/>
    <row r="3312" s="29" customFormat="1" ht="13.35" customHeight="1"/>
    <row r="3313" s="29" customFormat="1" ht="13.35" customHeight="1"/>
    <row r="3314" s="29" customFormat="1" ht="13.35" customHeight="1"/>
    <row r="3315" s="29" customFormat="1" ht="13.35" customHeight="1"/>
    <row r="3316" s="29" customFormat="1" ht="13.35" customHeight="1"/>
    <row r="3317" s="29" customFormat="1" ht="13.35" customHeight="1"/>
    <row r="3318" s="29" customFormat="1" ht="13.35" customHeight="1"/>
    <row r="3319" s="29" customFormat="1" ht="13.35" customHeight="1"/>
    <row r="3320" s="29" customFormat="1" ht="13.35" customHeight="1"/>
    <row r="3321" s="29" customFormat="1" ht="13.35" customHeight="1"/>
    <row r="3322" s="29" customFormat="1" ht="13.35" customHeight="1"/>
    <row r="3323" s="29" customFormat="1" ht="13.35" customHeight="1"/>
    <row r="3324" s="29" customFormat="1" ht="13.35" customHeight="1"/>
    <row r="3325" s="29" customFormat="1" ht="13.35" customHeight="1"/>
    <row r="3326" s="29" customFormat="1" ht="13.35" customHeight="1"/>
    <row r="3327" s="29" customFormat="1" ht="13.35" customHeight="1"/>
    <row r="3328" s="29" customFormat="1" ht="13.35" customHeight="1"/>
    <row r="3329" spans="2:8">
      <c r="B3329" s="29"/>
      <c r="C3329" s="29"/>
      <c r="D3329" s="29"/>
      <c r="E3329" s="29"/>
      <c r="F3329" s="29"/>
      <c r="G3329" s="29"/>
      <c r="H3329" s="29"/>
    </row>
  </sheetData>
  <mergeCells count="1">
    <mergeCell ref="B3:C3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5" enableFormatConditionsCalculation="0">
    <tabColor theme="3"/>
    <pageSetUpPr fitToPage="1"/>
  </sheetPr>
  <dimension ref="A1:AI3329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116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v>17574</v>
      </c>
      <c r="E4" s="16">
        <v>1836</v>
      </c>
      <c r="F4" s="16">
        <v>-519</v>
      </c>
      <c r="G4" s="15">
        <v>19115</v>
      </c>
      <c r="H4" s="16">
        <v>2055</v>
      </c>
      <c r="I4" s="16">
        <v>-700</v>
      </c>
      <c r="J4" s="15">
        <v>17752</v>
      </c>
      <c r="K4" s="16">
        <v>2107</v>
      </c>
      <c r="L4" s="16">
        <v>-557</v>
      </c>
      <c r="M4" s="15">
        <v>16414</v>
      </c>
      <c r="N4" s="16">
        <v>2164</v>
      </c>
      <c r="O4" s="17">
        <v>-457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v>32079</v>
      </c>
      <c r="E5" s="16">
        <v>2181</v>
      </c>
      <c r="F5" s="16">
        <v>-1949</v>
      </c>
      <c r="G5" s="15">
        <v>31954</v>
      </c>
      <c r="H5" s="16">
        <v>2472</v>
      </c>
      <c r="I5" s="16">
        <v>-2384</v>
      </c>
      <c r="J5" s="15">
        <v>30558</v>
      </c>
      <c r="K5" s="16">
        <v>2357</v>
      </c>
      <c r="L5" s="16">
        <v>-2407</v>
      </c>
      <c r="M5" s="15">
        <v>29767</v>
      </c>
      <c r="N5" s="16">
        <v>2453</v>
      </c>
      <c r="O5" s="17">
        <v>-2257</v>
      </c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v>1121</v>
      </c>
      <c r="E6" s="16">
        <v>117</v>
      </c>
      <c r="F6" s="16">
        <v>-31</v>
      </c>
      <c r="G6" s="15">
        <v>1078</v>
      </c>
      <c r="H6" s="16">
        <v>117</v>
      </c>
      <c r="I6" s="16">
        <v>-31</v>
      </c>
      <c r="J6" s="15">
        <v>973</v>
      </c>
      <c r="K6" s="16">
        <v>108</v>
      </c>
      <c r="L6" s="16">
        <v>-17</v>
      </c>
      <c r="M6" s="15">
        <v>891</v>
      </c>
      <c r="N6" s="16">
        <v>111</v>
      </c>
      <c r="O6" s="17">
        <v>-12</v>
      </c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v>9830</v>
      </c>
      <c r="E7" s="16">
        <v>730</v>
      </c>
      <c r="F7" s="16">
        <v>-248</v>
      </c>
      <c r="G7" s="15">
        <v>9628</v>
      </c>
      <c r="H7" s="16">
        <v>770</v>
      </c>
      <c r="I7" s="16">
        <v>-235</v>
      </c>
      <c r="J7" s="15">
        <v>8760</v>
      </c>
      <c r="K7" s="16">
        <v>768</v>
      </c>
      <c r="L7" s="16">
        <v>-225</v>
      </c>
      <c r="M7" s="15">
        <v>7987</v>
      </c>
      <c r="N7" s="16">
        <v>840</v>
      </c>
      <c r="O7" s="17">
        <v>-174</v>
      </c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v>1929</v>
      </c>
      <c r="E8" s="16">
        <v>253</v>
      </c>
      <c r="F8" s="16">
        <v>-50</v>
      </c>
      <c r="G8" s="15">
        <v>1914</v>
      </c>
      <c r="H8" s="16">
        <v>275</v>
      </c>
      <c r="I8" s="16">
        <v>-59</v>
      </c>
      <c r="J8" s="15">
        <v>1821</v>
      </c>
      <c r="K8" s="16">
        <v>285</v>
      </c>
      <c r="L8" s="16">
        <v>-50</v>
      </c>
      <c r="M8" s="15">
        <v>1762</v>
      </c>
      <c r="N8" s="16">
        <v>311</v>
      </c>
      <c r="O8" s="17">
        <v>-41</v>
      </c>
    </row>
    <row r="9" spans="1:35" ht="13.35" customHeight="1">
      <c r="A9" s="13"/>
      <c r="B9" s="14" t="s">
        <v>64</v>
      </c>
      <c r="C9" s="14"/>
      <c r="D9" s="15">
        <v>988</v>
      </c>
      <c r="E9" s="16">
        <v>97</v>
      </c>
      <c r="F9" s="16">
        <v>-10</v>
      </c>
      <c r="G9" s="15">
        <v>958</v>
      </c>
      <c r="H9" s="16">
        <v>97</v>
      </c>
      <c r="I9" s="16">
        <v>-10</v>
      </c>
      <c r="J9" s="15">
        <v>877</v>
      </c>
      <c r="K9" s="16">
        <v>96</v>
      </c>
      <c r="L9" s="16">
        <v>-10</v>
      </c>
      <c r="M9" s="15">
        <v>786</v>
      </c>
      <c r="N9" s="16">
        <v>101</v>
      </c>
      <c r="O9" s="17">
        <v>-6</v>
      </c>
    </row>
    <row r="10" spans="1:35" ht="13.35" customHeight="1">
      <c r="A10" s="13"/>
      <c r="B10" s="14" t="s">
        <v>84</v>
      </c>
      <c r="C10" s="14"/>
      <c r="D10" s="15">
        <v>265</v>
      </c>
      <c r="E10" s="16">
        <v>18</v>
      </c>
      <c r="F10" s="16">
        <v>-10</v>
      </c>
      <c r="G10" s="15">
        <v>311</v>
      </c>
      <c r="H10" s="16">
        <v>15</v>
      </c>
      <c r="I10" s="16">
        <v>-18</v>
      </c>
      <c r="J10" s="15">
        <v>288</v>
      </c>
      <c r="K10" s="16">
        <v>19</v>
      </c>
      <c r="L10" s="16">
        <v>-15</v>
      </c>
      <c r="M10" s="15">
        <v>284</v>
      </c>
      <c r="N10" s="16">
        <v>22</v>
      </c>
      <c r="O10" s="17">
        <v>-13</v>
      </c>
    </row>
    <row r="11" spans="1:35" s="29" customFormat="1" ht="13.35" customHeight="1">
      <c r="A11" s="27"/>
      <c r="B11" s="28" t="s">
        <v>1</v>
      </c>
      <c r="C11" s="28"/>
      <c r="D11" s="15">
        <v>19468</v>
      </c>
      <c r="E11" s="16">
        <v>2062</v>
      </c>
      <c r="F11" s="16">
        <v>-589</v>
      </c>
      <c r="G11" s="15">
        <v>19542</v>
      </c>
      <c r="H11" s="16">
        <v>2164</v>
      </c>
      <c r="I11" s="16">
        <v>-638</v>
      </c>
      <c r="J11" s="15">
        <v>17680</v>
      </c>
      <c r="K11" s="16">
        <v>2037</v>
      </c>
      <c r="L11" s="16">
        <v>-443</v>
      </c>
      <c r="M11" s="15">
        <v>16100</v>
      </c>
      <c r="N11" s="16">
        <v>2058</v>
      </c>
      <c r="O11" s="17">
        <v>-341</v>
      </c>
    </row>
    <row r="12" spans="1:35" s="29" customFormat="1" ht="13.35" customHeight="1">
      <c r="A12" s="27"/>
      <c r="B12" s="28" t="s">
        <v>65</v>
      </c>
      <c r="C12" s="28"/>
      <c r="D12" s="15">
        <v>1124</v>
      </c>
      <c r="E12" s="16">
        <v>127</v>
      </c>
      <c r="F12" s="16">
        <v>-27</v>
      </c>
      <c r="G12" s="15">
        <v>1108</v>
      </c>
      <c r="H12" s="16">
        <v>138</v>
      </c>
      <c r="I12" s="16">
        <v>-26</v>
      </c>
      <c r="J12" s="15">
        <v>1015</v>
      </c>
      <c r="K12" s="16">
        <v>133</v>
      </c>
      <c r="L12" s="16">
        <v>-57</v>
      </c>
      <c r="M12" s="15">
        <v>957</v>
      </c>
      <c r="N12" s="16">
        <v>134</v>
      </c>
      <c r="O12" s="17">
        <v>-38</v>
      </c>
    </row>
    <row r="13" spans="1:35" s="29" customFormat="1" ht="13.35" customHeight="1">
      <c r="A13" s="27"/>
      <c r="B13" s="30" t="s">
        <v>85</v>
      </c>
      <c r="C13" s="30"/>
      <c r="D13" s="15">
        <v>508</v>
      </c>
      <c r="E13" s="16">
        <v>49</v>
      </c>
      <c r="F13" s="16">
        <v>-21</v>
      </c>
      <c r="G13" s="15">
        <v>562</v>
      </c>
      <c r="H13" s="16">
        <v>59</v>
      </c>
      <c r="I13" s="16">
        <v>-14</v>
      </c>
      <c r="J13" s="15">
        <v>545</v>
      </c>
      <c r="K13" s="16">
        <v>65</v>
      </c>
      <c r="L13" s="16">
        <v>-25</v>
      </c>
      <c r="M13" s="15">
        <v>527</v>
      </c>
      <c r="N13" s="16">
        <v>67</v>
      </c>
      <c r="O13" s="17">
        <v>-28</v>
      </c>
    </row>
    <row r="14" spans="1:35" s="29" customFormat="1" ht="13.35" customHeight="1">
      <c r="A14" s="27"/>
      <c r="B14" s="30" t="s">
        <v>86</v>
      </c>
      <c r="C14" s="30"/>
      <c r="D14" s="15">
        <f>90621+3</f>
        <v>90624</v>
      </c>
      <c r="E14" s="16">
        <f>9260</f>
        <v>9260</v>
      </c>
      <c r="F14" s="16">
        <f>-3671</f>
        <v>-3671</v>
      </c>
      <c r="G14" s="15">
        <f>92396+4</f>
        <v>92400</v>
      </c>
      <c r="H14" s="16">
        <f>9902</f>
        <v>9902</v>
      </c>
      <c r="I14" s="16">
        <f>-4016</f>
        <v>-4016</v>
      </c>
      <c r="J14" s="15">
        <f>86093+3</f>
        <v>86096</v>
      </c>
      <c r="K14" s="16">
        <f>9841</f>
        <v>9841</v>
      </c>
      <c r="L14" s="16">
        <f>-2872</f>
        <v>-2872</v>
      </c>
      <c r="M14" s="15">
        <f>82053+5</f>
        <v>82058</v>
      </c>
      <c r="N14" s="16">
        <f>10598</f>
        <v>10598</v>
      </c>
      <c r="O14" s="17">
        <f>-2415</f>
        <v>-2415</v>
      </c>
    </row>
    <row r="15" spans="1:35" s="29" customFormat="1" ht="13.35" customHeight="1">
      <c r="A15" s="27"/>
      <c r="B15" s="30" t="s">
        <v>66</v>
      </c>
      <c r="C15" s="30"/>
      <c r="D15" s="15">
        <v>1953</v>
      </c>
      <c r="E15" s="16">
        <v>183</v>
      </c>
      <c r="F15" s="16">
        <v>-73</v>
      </c>
      <c r="G15" s="15">
        <v>1916</v>
      </c>
      <c r="H15" s="16">
        <v>167</v>
      </c>
      <c r="I15" s="16">
        <v>-80</v>
      </c>
      <c r="J15" s="15">
        <v>1754</v>
      </c>
      <c r="K15" s="16">
        <v>170</v>
      </c>
      <c r="L15" s="16">
        <v>-77</v>
      </c>
      <c r="M15" s="15">
        <v>1647</v>
      </c>
      <c r="N15" s="16">
        <v>179</v>
      </c>
      <c r="O15" s="17">
        <v>-67</v>
      </c>
    </row>
    <row r="16" spans="1:35" s="29" customFormat="1" ht="13.35" customHeight="1">
      <c r="A16" s="27"/>
      <c r="B16" s="30" t="s">
        <v>87</v>
      </c>
      <c r="C16" s="30"/>
      <c r="D16" s="15">
        <v>188</v>
      </c>
      <c r="E16" s="16">
        <v>20</v>
      </c>
      <c r="F16" s="16">
        <v>-4</v>
      </c>
      <c r="G16" s="15">
        <v>184</v>
      </c>
      <c r="H16" s="16">
        <v>18</v>
      </c>
      <c r="I16" s="16">
        <v>-3</v>
      </c>
      <c r="J16" s="15">
        <v>166</v>
      </c>
      <c r="K16" s="16">
        <v>18</v>
      </c>
      <c r="L16" s="16">
        <v>-3</v>
      </c>
      <c r="M16" s="15">
        <v>167</v>
      </c>
      <c r="N16" s="16">
        <v>19</v>
      </c>
      <c r="O16" s="17">
        <v>-2</v>
      </c>
    </row>
    <row r="17" spans="1:15" s="29" customFormat="1" ht="13.35" customHeight="1">
      <c r="A17" s="27"/>
      <c r="B17" s="30" t="s">
        <v>67</v>
      </c>
      <c r="C17" s="30"/>
      <c r="D17" s="15">
        <v>4485</v>
      </c>
      <c r="E17" s="16">
        <v>548</v>
      </c>
      <c r="F17" s="16">
        <v>-83</v>
      </c>
      <c r="G17" s="15">
        <v>4370</v>
      </c>
      <c r="H17" s="16">
        <v>597</v>
      </c>
      <c r="I17" s="16">
        <v>-120</v>
      </c>
      <c r="J17" s="15">
        <v>4094</v>
      </c>
      <c r="K17" s="16">
        <v>591</v>
      </c>
      <c r="L17" s="16">
        <v>-105</v>
      </c>
      <c r="M17" s="15">
        <v>3893</v>
      </c>
      <c r="N17" s="16">
        <v>626</v>
      </c>
      <c r="O17" s="17">
        <v>-79</v>
      </c>
    </row>
    <row r="18" spans="1:15" s="29" customFormat="1" ht="13.35" customHeight="1">
      <c r="A18" s="27"/>
      <c r="B18" s="30" t="s">
        <v>88</v>
      </c>
      <c r="C18" s="30"/>
      <c r="D18" s="15">
        <v>8916</v>
      </c>
      <c r="E18" s="16">
        <v>1065</v>
      </c>
      <c r="F18" s="16">
        <v>-59</v>
      </c>
      <c r="G18" s="15">
        <v>8901</v>
      </c>
      <c r="H18" s="16">
        <v>1193</v>
      </c>
      <c r="I18" s="16">
        <v>-61</v>
      </c>
      <c r="J18" s="15">
        <v>8434</v>
      </c>
      <c r="K18" s="16">
        <v>1298</v>
      </c>
      <c r="L18" s="16">
        <v>-57</v>
      </c>
      <c r="M18" s="15">
        <v>7956</v>
      </c>
      <c r="N18" s="16">
        <v>1437</v>
      </c>
      <c r="O18" s="17">
        <v>-46</v>
      </c>
    </row>
    <row r="19" spans="1:15" s="29" customFormat="1" ht="13.35" customHeight="1">
      <c r="A19" s="27"/>
      <c r="B19" s="30" t="s">
        <v>139</v>
      </c>
      <c r="C19" s="30"/>
      <c r="D19" s="15">
        <v>3706</v>
      </c>
      <c r="E19" s="16">
        <v>564</v>
      </c>
      <c r="F19" s="16">
        <v>-54</v>
      </c>
      <c r="G19" s="15">
        <v>3709</v>
      </c>
      <c r="H19" s="16">
        <v>606</v>
      </c>
      <c r="I19" s="16">
        <v>-66</v>
      </c>
      <c r="J19" s="15">
        <v>3472</v>
      </c>
      <c r="K19" s="16">
        <v>553</v>
      </c>
      <c r="L19" s="16">
        <v>-51</v>
      </c>
      <c r="M19" s="15">
        <v>3263</v>
      </c>
      <c r="N19" s="16">
        <v>582</v>
      </c>
      <c r="O19" s="17">
        <v>-44</v>
      </c>
    </row>
    <row r="20" spans="1:15" s="29" customFormat="1" ht="13.35" customHeight="1">
      <c r="A20" s="27"/>
      <c r="B20" s="30" t="s">
        <v>68</v>
      </c>
      <c r="C20" s="30"/>
      <c r="D20" s="15">
        <v>1115</v>
      </c>
      <c r="E20" s="16">
        <v>247</v>
      </c>
      <c r="F20" s="16">
        <v>-89</v>
      </c>
      <c r="G20" s="15">
        <v>1157</v>
      </c>
      <c r="H20" s="16">
        <v>200</v>
      </c>
      <c r="I20" s="16">
        <v>-165</v>
      </c>
      <c r="J20" s="15">
        <v>1029</v>
      </c>
      <c r="K20" s="16">
        <v>177</v>
      </c>
      <c r="L20" s="16">
        <v>-118</v>
      </c>
      <c r="M20" s="15">
        <v>1020</v>
      </c>
      <c r="N20" s="16">
        <v>198</v>
      </c>
      <c r="O20" s="17">
        <v>-218</v>
      </c>
    </row>
    <row r="21" spans="1:15" s="29" customFormat="1" ht="13.35" customHeight="1">
      <c r="A21" s="27"/>
      <c r="B21" s="30" t="s">
        <v>69</v>
      </c>
      <c r="C21" s="30"/>
      <c r="D21" s="15">
        <v>1828</v>
      </c>
      <c r="E21" s="16">
        <v>189</v>
      </c>
      <c r="F21" s="16">
        <v>-38</v>
      </c>
      <c r="G21" s="15">
        <v>1810</v>
      </c>
      <c r="H21" s="16">
        <v>199</v>
      </c>
      <c r="I21" s="16">
        <v>-37</v>
      </c>
      <c r="J21" s="15">
        <v>1670</v>
      </c>
      <c r="K21" s="16">
        <v>196</v>
      </c>
      <c r="L21" s="16">
        <v>-33</v>
      </c>
      <c r="M21" s="15">
        <v>1576</v>
      </c>
      <c r="N21" s="16">
        <v>209</v>
      </c>
      <c r="O21" s="17">
        <v>-33</v>
      </c>
    </row>
    <row r="22" spans="1:15" s="29" customFormat="1" ht="13.35" customHeight="1">
      <c r="A22" s="27"/>
      <c r="B22" s="30" t="s">
        <v>70</v>
      </c>
      <c r="C22" s="30"/>
      <c r="D22" s="15">
        <v>2188</v>
      </c>
      <c r="E22" s="16">
        <v>247</v>
      </c>
      <c r="F22" s="16">
        <v>-31</v>
      </c>
      <c r="G22" s="15">
        <v>2120</v>
      </c>
      <c r="H22" s="16">
        <v>255</v>
      </c>
      <c r="I22" s="16">
        <v>-28</v>
      </c>
      <c r="J22" s="15">
        <v>1939</v>
      </c>
      <c r="K22" s="16">
        <v>250</v>
      </c>
      <c r="L22" s="16">
        <v>-21</v>
      </c>
      <c r="M22" s="15">
        <v>1828</v>
      </c>
      <c r="N22" s="16">
        <v>274</v>
      </c>
      <c r="O22" s="17">
        <v>-20</v>
      </c>
    </row>
    <row r="23" spans="1:15" s="29" customFormat="1" ht="13.35" customHeight="1">
      <c r="A23" s="27"/>
      <c r="B23" s="30" t="s">
        <v>71</v>
      </c>
      <c r="C23" s="30"/>
      <c r="D23" s="15">
        <v>2638</v>
      </c>
      <c r="E23" s="16">
        <v>177</v>
      </c>
      <c r="F23" s="16">
        <v>-26</v>
      </c>
      <c r="G23" s="15">
        <v>2570</v>
      </c>
      <c r="H23" s="16">
        <v>190</v>
      </c>
      <c r="I23" s="16">
        <v>-21</v>
      </c>
      <c r="J23" s="15">
        <v>2260</v>
      </c>
      <c r="K23" s="16">
        <v>187</v>
      </c>
      <c r="L23" s="16">
        <v>-16</v>
      </c>
      <c r="M23" s="15">
        <v>1915</v>
      </c>
      <c r="N23" s="16">
        <v>195</v>
      </c>
      <c r="O23" s="17">
        <v>-11</v>
      </c>
    </row>
    <row r="24" spans="1:15" s="29" customFormat="1" ht="13.35" customHeight="1">
      <c r="A24" s="27"/>
      <c r="B24" s="30" t="s">
        <v>103</v>
      </c>
      <c r="C24" s="30"/>
      <c r="D24" s="15">
        <v>85</v>
      </c>
      <c r="E24" s="16">
        <v>11</v>
      </c>
      <c r="F24" s="16">
        <v>-35</v>
      </c>
      <c r="G24" s="15">
        <v>84</v>
      </c>
      <c r="H24" s="16">
        <v>14</v>
      </c>
      <c r="I24" s="16">
        <v>-91</v>
      </c>
      <c r="J24" s="15">
        <v>83</v>
      </c>
      <c r="K24" s="16">
        <v>14</v>
      </c>
      <c r="L24" s="16">
        <v>-67</v>
      </c>
      <c r="M24" s="15">
        <v>80</v>
      </c>
      <c r="N24" s="16">
        <v>15</v>
      </c>
      <c r="O24" s="17">
        <v>-61</v>
      </c>
    </row>
    <row r="25" spans="1:15" s="29" customFormat="1" ht="13.35" customHeight="1">
      <c r="A25" s="27"/>
      <c r="B25" s="30" t="s">
        <v>89</v>
      </c>
      <c r="C25" s="30"/>
      <c r="D25" s="15">
        <v>2049</v>
      </c>
      <c r="E25" s="16">
        <v>215</v>
      </c>
      <c r="F25" s="16">
        <v>-69</v>
      </c>
      <c r="G25" s="15">
        <v>2036</v>
      </c>
      <c r="H25" s="16">
        <v>225</v>
      </c>
      <c r="I25" s="16">
        <v>-73</v>
      </c>
      <c r="J25" s="15">
        <v>1885</v>
      </c>
      <c r="K25" s="16">
        <v>223</v>
      </c>
      <c r="L25" s="16">
        <v>-68</v>
      </c>
      <c r="M25" s="15">
        <v>1759</v>
      </c>
      <c r="N25" s="16">
        <v>238</v>
      </c>
      <c r="O25" s="17">
        <v>-65</v>
      </c>
    </row>
    <row r="26" spans="1:15" s="29" customFormat="1" ht="13.35" customHeight="1">
      <c r="A26" s="27"/>
      <c r="B26" s="30" t="s">
        <v>72</v>
      </c>
      <c r="C26" s="30"/>
      <c r="D26" s="15">
        <v>319</v>
      </c>
      <c r="E26" s="16">
        <v>38</v>
      </c>
      <c r="F26" s="16">
        <v>-9</v>
      </c>
      <c r="G26" s="15">
        <v>331</v>
      </c>
      <c r="H26" s="16">
        <v>48</v>
      </c>
      <c r="I26" s="16">
        <v>-11</v>
      </c>
      <c r="J26" s="15">
        <v>297</v>
      </c>
      <c r="K26" s="16">
        <v>46</v>
      </c>
      <c r="L26" s="16">
        <v>-12</v>
      </c>
      <c r="M26" s="15">
        <v>297</v>
      </c>
      <c r="N26" s="16">
        <v>48</v>
      </c>
      <c r="O26" s="17">
        <v>-10</v>
      </c>
    </row>
    <row r="27" spans="1:15" s="29" customFormat="1" ht="13.35" customHeight="1">
      <c r="A27" s="27"/>
      <c r="B27" s="30" t="s">
        <v>73</v>
      </c>
      <c r="C27" s="30"/>
      <c r="D27" s="15">
        <v>27470</v>
      </c>
      <c r="E27" s="16">
        <v>1578</v>
      </c>
      <c r="F27" s="16">
        <v>-450</v>
      </c>
      <c r="G27" s="15">
        <v>26595</v>
      </c>
      <c r="H27" s="16">
        <v>1651</v>
      </c>
      <c r="I27" s="16">
        <v>-469</v>
      </c>
      <c r="J27" s="15">
        <v>24193</v>
      </c>
      <c r="K27" s="16">
        <v>1656</v>
      </c>
      <c r="L27" s="16">
        <v>-374</v>
      </c>
      <c r="M27" s="15">
        <v>22224</v>
      </c>
      <c r="N27" s="16">
        <v>1748</v>
      </c>
      <c r="O27" s="17">
        <v>-335</v>
      </c>
    </row>
    <row r="28" spans="1:15" s="29" customFormat="1" ht="13.35" customHeight="1">
      <c r="A28" s="27"/>
      <c r="B28" s="30" t="s">
        <v>74</v>
      </c>
      <c r="C28" s="30"/>
      <c r="D28" s="15">
        <v>386</v>
      </c>
      <c r="E28" s="16">
        <v>46</v>
      </c>
      <c r="F28" s="16">
        <v>-8</v>
      </c>
      <c r="G28" s="15">
        <v>382</v>
      </c>
      <c r="H28" s="16">
        <v>58</v>
      </c>
      <c r="I28" s="16">
        <v>-11</v>
      </c>
      <c r="J28" s="15">
        <v>367</v>
      </c>
      <c r="K28" s="16">
        <v>58</v>
      </c>
      <c r="L28" s="16">
        <v>-14</v>
      </c>
      <c r="M28" s="15">
        <v>354</v>
      </c>
      <c r="N28" s="16">
        <v>56</v>
      </c>
      <c r="O28" s="17">
        <v>-8</v>
      </c>
    </row>
    <row r="29" spans="1:15" s="29" customFormat="1" ht="13.35" customHeight="1">
      <c r="A29" s="27"/>
      <c r="B29" s="30" t="s">
        <v>75</v>
      </c>
      <c r="C29" s="30"/>
      <c r="D29" s="15">
        <v>1156</v>
      </c>
      <c r="E29" s="16">
        <v>105</v>
      </c>
      <c r="F29" s="16">
        <v>-56</v>
      </c>
      <c r="G29" s="15">
        <v>1203</v>
      </c>
      <c r="H29" s="16">
        <v>108</v>
      </c>
      <c r="I29" s="16">
        <v>-79</v>
      </c>
      <c r="J29" s="15">
        <v>1142</v>
      </c>
      <c r="K29" s="16">
        <v>111</v>
      </c>
      <c r="L29" s="16">
        <v>-96</v>
      </c>
      <c r="M29" s="15">
        <v>1101</v>
      </c>
      <c r="N29" s="16">
        <v>127</v>
      </c>
      <c r="O29" s="17">
        <v>-107</v>
      </c>
    </row>
    <row r="30" spans="1:15" s="29" customFormat="1" ht="13.35" customHeight="1">
      <c r="A30" s="27"/>
      <c r="B30" s="30" t="s">
        <v>90</v>
      </c>
      <c r="C30" s="30"/>
      <c r="D30" s="15">
        <v>5447</v>
      </c>
      <c r="E30" s="16">
        <v>451</v>
      </c>
      <c r="F30" s="16">
        <v>-51</v>
      </c>
      <c r="G30" s="15">
        <v>5228</v>
      </c>
      <c r="H30" s="16">
        <v>489</v>
      </c>
      <c r="I30" s="16">
        <v>-53</v>
      </c>
      <c r="J30" s="15">
        <v>4810</v>
      </c>
      <c r="K30" s="16">
        <v>483</v>
      </c>
      <c r="L30" s="16">
        <v>-36</v>
      </c>
      <c r="M30" s="15">
        <v>4480</v>
      </c>
      <c r="N30" s="16">
        <v>511</v>
      </c>
      <c r="O30" s="17">
        <v>-29</v>
      </c>
    </row>
    <row r="31" spans="1:15" s="29" customFormat="1" ht="13.35" customHeight="1">
      <c r="A31" s="27"/>
      <c r="B31" s="30" t="s">
        <v>2</v>
      </c>
      <c r="C31" s="30"/>
      <c r="D31" s="15">
        <v>708</v>
      </c>
      <c r="E31" s="16">
        <v>69</v>
      </c>
      <c r="F31" s="16">
        <v>-10</v>
      </c>
      <c r="G31" s="15">
        <v>684</v>
      </c>
      <c r="H31" s="16">
        <v>68</v>
      </c>
      <c r="I31" s="16">
        <v>-13</v>
      </c>
      <c r="J31" s="15">
        <v>623</v>
      </c>
      <c r="K31" s="16">
        <v>68</v>
      </c>
      <c r="L31" s="16">
        <v>-10</v>
      </c>
      <c r="M31" s="15">
        <v>585</v>
      </c>
      <c r="N31" s="16">
        <v>66</v>
      </c>
      <c r="O31" s="17">
        <v>-8</v>
      </c>
    </row>
    <row r="32" spans="1:15" s="29" customFormat="1" ht="13.35" customHeight="1">
      <c r="A32" s="27"/>
      <c r="B32" s="30" t="s">
        <v>76</v>
      </c>
      <c r="C32" s="30"/>
      <c r="D32" s="15">
        <v>620</v>
      </c>
      <c r="E32" s="16">
        <v>74</v>
      </c>
      <c r="F32" s="16">
        <v>-31</v>
      </c>
      <c r="G32" s="15">
        <v>637</v>
      </c>
      <c r="H32" s="16">
        <v>78</v>
      </c>
      <c r="I32" s="16">
        <v>-50</v>
      </c>
      <c r="J32" s="15">
        <v>586</v>
      </c>
      <c r="K32" s="16">
        <v>60</v>
      </c>
      <c r="L32" s="16">
        <v>-25</v>
      </c>
      <c r="M32" s="15">
        <v>552</v>
      </c>
      <c r="N32" s="16">
        <v>67</v>
      </c>
      <c r="O32" s="17">
        <v>-29</v>
      </c>
    </row>
    <row r="33" spans="1:35" s="29" customFormat="1" ht="13.35" customHeight="1">
      <c r="A33" s="27"/>
      <c r="B33" s="30" t="s">
        <v>77</v>
      </c>
      <c r="C33" s="30"/>
      <c r="D33" s="15">
        <v>7923</v>
      </c>
      <c r="E33" s="16">
        <v>799</v>
      </c>
      <c r="F33" s="16">
        <v>-374</v>
      </c>
      <c r="G33" s="15">
        <v>8014</v>
      </c>
      <c r="H33" s="16">
        <v>891</v>
      </c>
      <c r="I33" s="16">
        <v>-437</v>
      </c>
      <c r="J33" s="15">
        <v>7327</v>
      </c>
      <c r="K33" s="16">
        <v>875</v>
      </c>
      <c r="L33" s="16">
        <v>-362</v>
      </c>
      <c r="M33" s="15">
        <v>6846</v>
      </c>
      <c r="N33" s="16">
        <v>963</v>
      </c>
      <c r="O33" s="17">
        <v>-277</v>
      </c>
    </row>
    <row r="34" spans="1:35" s="33" customFormat="1" ht="13.35" customHeight="1">
      <c r="A34" s="31"/>
      <c r="B34" s="32" t="s">
        <v>91</v>
      </c>
      <c r="C34" s="32"/>
      <c r="D34" s="15">
        <v>2511</v>
      </c>
      <c r="E34" s="16">
        <v>200</v>
      </c>
      <c r="F34" s="16">
        <v>-36</v>
      </c>
      <c r="G34" s="15">
        <v>2476</v>
      </c>
      <c r="H34" s="16">
        <v>212</v>
      </c>
      <c r="I34" s="16">
        <v>-41</v>
      </c>
      <c r="J34" s="15">
        <v>2287</v>
      </c>
      <c r="K34" s="16">
        <v>206</v>
      </c>
      <c r="L34" s="16">
        <v>-29</v>
      </c>
      <c r="M34" s="15">
        <v>2149</v>
      </c>
      <c r="N34" s="16">
        <v>228</v>
      </c>
      <c r="O34" s="17">
        <v>-26</v>
      </c>
    </row>
    <row r="35" spans="1:35" s="33" customFormat="1" ht="13.35" customHeight="1">
      <c r="A35" s="31"/>
      <c r="B35" s="32" t="s">
        <v>78</v>
      </c>
      <c r="C35" s="32"/>
      <c r="D35" s="15">
        <v>12842</v>
      </c>
      <c r="E35" s="16">
        <v>1071</v>
      </c>
      <c r="F35" s="16">
        <v>-310</v>
      </c>
      <c r="G35" s="15">
        <v>12448</v>
      </c>
      <c r="H35" s="16">
        <v>1128</v>
      </c>
      <c r="I35" s="16">
        <v>-345</v>
      </c>
      <c r="J35" s="15">
        <v>11391</v>
      </c>
      <c r="K35" s="16">
        <v>1140</v>
      </c>
      <c r="L35" s="16">
        <v>-309</v>
      </c>
      <c r="M35" s="15">
        <v>10696</v>
      </c>
      <c r="N35" s="16">
        <v>1210</v>
      </c>
      <c r="O35" s="17">
        <v>-255</v>
      </c>
    </row>
    <row r="36" spans="1:35" s="33" customFormat="1" ht="13.35" customHeight="1">
      <c r="A36" s="31"/>
      <c r="B36" s="32" t="s">
        <v>92</v>
      </c>
      <c r="C36" s="32"/>
      <c r="D36" s="15">
        <v>1832</v>
      </c>
      <c r="E36" s="16">
        <v>199</v>
      </c>
      <c r="F36" s="16">
        <v>-28</v>
      </c>
      <c r="G36" s="15">
        <v>1785</v>
      </c>
      <c r="H36" s="16">
        <v>197</v>
      </c>
      <c r="I36" s="16">
        <v>-26</v>
      </c>
      <c r="J36" s="15">
        <v>1593</v>
      </c>
      <c r="K36" s="16">
        <v>175</v>
      </c>
      <c r="L36" s="16">
        <v>-25</v>
      </c>
      <c r="M36" s="15">
        <v>1439</v>
      </c>
      <c r="N36" s="16">
        <v>181</v>
      </c>
      <c r="O36" s="17">
        <v>-21</v>
      </c>
    </row>
    <row r="37" spans="1:35" s="33" customFormat="1" ht="13.35" hidden="1" customHeight="1">
      <c r="A37" s="31"/>
      <c r="B37" s="32" t="s">
        <v>42</v>
      </c>
      <c r="C37" s="32"/>
      <c r="D37" s="15">
        <v>0</v>
      </c>
      <c r="E37" s="16">
        <v>0</v>
      </c>
      <c r="F37" s="16">
        <v>0</v>
      </c>
      <c r="G37" s="15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5">
        <v>0</v>
      </c>
      <c r="N37" s="16">
        <v>0</v>
      </c>
      <c r="O37" s="17">
        <v>0</v>
      </c>
    </row>
    <row r="38" spans="1:35" s="33" customFormat="1" ht="13.35" customHeight="1">
      <c r="A38" s="67"/>
      <c r="B38" s="68" t="s">
        <v>0</v>
      </c>
      <c r="C38" s="69"/>
      <c r="D38" s="37">
        <f t="shared" ref="D38:O38" si="0">SUM(D4:D37)</f>
        <v>265875</v>
      </c>
      <c r="E38" s="38">
        <f t="shared" si="0"/>
        <v>24826</v>
      </c>
      <c r="F38" s="38">
        <f t="shared" si="0"/>
        <v>-9049</v>
      </c>
      <c r="G38" s="37">
        <f t="shared" si="0"/>
        <v>267210</v>
      </c>
      <c r="H38" s="38">
        <f t="shared" si="0"/>
        <v>26656</v>
      </c>
      <c r="I38" s="38">
        <f t="shared" si="0"/>
        <v>-10411</v>
      </c>
      <c r="J38" s="37">
        <f t="shared" si="0"/>
        <v>247767</v>
      </c>
      <c r="K38" s="38">
        <f t="shared" si="0"/>
        <v>26371</v>
      </c>
      <c r="L38" s="38">
        <f t="shared" si="0"/>
        <v>-8586</v>
      </c>
      <c r="M38" s="37">
        <f t="shared" si="0"/>
        <v>233360</v>
      </c>
      <c r="N38" s="38">
        <f t="shared" si="0"/>
        <v>28036</v>
      </c>
      <c r="O38" s="39">
        <f t="shared" si="0"/>
        <v>-7533</v>
      </c>
    </row>
    <row r="39" spans="1:35" s="33" customFormat="1" ht="12" hidden="1" customHeight="1">
      <c r="B39" s="63" t="s">
        <v>94</v>
      </c>
    </row>
    <row r="40" spans="1:35" s="29" customFormat="1" ht="13.35" customHeight="1"/>
    <row r="41" spans="1:35" s="29" customFormat="1" ht="13.35" customHeight="1"/>
    <row r="42" spans="1:35" s="43" customFormat="1" ht="13.35" customHeight="1">
      <c r="A42" s="30"/>
      <c r="B42" s="29"/>
      <c r="C42" s="29"/>
      <c r="D42" s="29"/>
      <c r="H42" s="29"/>
      <c r="J42" s="29"/>
      <c r="M42" s="29"/>
      <c r="P42" s="29"/>
      <c r="Q42" s="29"/>
      <c r="R42" s="22"/>
      <c r="S42" s="23"/>
      <c r="T42" s="24"/>
      <c r="U42" s="24"/>
      <c r="V42" s="24"/>
      <c r="W42" s="24"/>
      <c r="X42" s="24"/>
      <c r="Y42" s="24"/>
      <c r="Z42" s="24"/>
      <c r="AA42" s="24"/>
      <c r="AB42" s="25"/>
      <c r="AC42" s="26"/>
      <c r="AD42" s="26"/>
      <c r="AE42" s="11"/>
      <c r="AF42" s="11"/>
      <c r="AG42" s="11"/>
      <c r="AH42" s="11"/>
      <c r="AI42" s="11"/>
    </row>
    <row r="43" spans="1:35" s="29" customFormat="1" ht="13.35" customHeight="1"/>
    <row r="44" spans="1:35" s="29" customFormat="1" ht="13.35" customHeight="1"/>
    <row r="45" spans="1:35" s="29" customFormat="1" ht="13.35" customHeight="1"/>
    <row r="46" spans="1:35" s="29" customFormat="1" ht="13.35" customHeight="1"/>
    <row r="47" spans="1:35" s="29" customFormat="1" ht="13.35" customHeight="1"/>
    <row r="48" spans="1:35" s="29" customFormat="1" ht="13.35" customHeight="1"/>
    <row r="49" s="29" customFormat="1" ht="13.35" customHeight="1"/>
    <row r="50" s="29" customFormat="1" ht="13.35" customHeight="1"/>
    <row r="51" s="29" customFormat="1" ht="13.35" customHeight="1"/>
    <row r="52" s="29" customFormat="1" ht="13.35" customHeight="1"/>
    <row r="53" s="29" customFormat="1" ht="13.35" customHeight="1"/>
    <row r="54" s="29" customFormat="1" ht="13.35" customHeight="1"/>
    <row r="55" s="29" customFormat="1" ht="13.35" customHeight="1"/>
    <row r="56" s="29" customFormat="1" ht="13.35" customHeight="1"/>
    <row r="57" s="29" customFormat="1" ht="13.35" customHeight="1"/>
    <row r="58" s="29" customFormat="1" ht="13.35" customHeight="1"/>
    <row r="59" s="29" customFormat="1" ht="13.35" customHeight="1"/>
    <row r="60" s="29" customFormat="1" ht="13.35" customHeight="1"/>
    <row r="61" s="29" customFormat="1" ht="13.35" customHeight="1"/>
    <row r="62" s="29" customFormat="1" ht="13.35" customHeight="1"/>
    <row r="63" s="29" customFormat="1" ht="13.35" customHeight="1"/>
    <row r="64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="29" customFormat="1" ht="13.35" customHeight="1"/>
    <row r="3298" s="29" customFormat="1" ht="13.35" customHeight="1"/>
    <row r="3299" s="29" customFormat="1" ht="13.35" customHeight="1"/>
    <row r="3300" s="29" customFormat="1" ht="13.35" customHeight="1"/>
    <row r="3301" s="29" customFormat="1" ht="13.35" customHeight="1"/>
    <row r="3302" s="29" customFormat="1" ht="13.35" customHeight="1"/>
    <row r="3303" s="29" customFormat="1" ht="13.35" customHeight="1"/>
    <row r="3304" s="29" customFormat="1" ht="13.35" customHeight="1"/>
    <row r="3305" s="29" customFormat="1" ht="13.35" customHeight="1"/>
    <row r="3306" s="29" customFormat="1" ht="13.35" customHeight="1"/>
    <row r="3307" s="29" customFormat="1" ht="13.35" customHeight="1"/>
    <row r="3308" s="29" customFormat="1" ht="13.35" customHeight="1"/>
    <row r="3309" s="29" customFormat="1" ht="13.35" customHeight="1"/>
    <row r="3310" s="29" customFormat="1" ht="13.35" customHeight="1"/>
    <row r="3311" s="29" customFormat="1" ht="13.35" customHeight="1"/>
    <row r="3312" s="29" customFormat="1" ht="13.35" customHeight="1"/>
    <row r="3313" s="29" customFormat="1" ht="13.35" customHeight="1"/>
    <row r="3314" s="29" customFormat="1" ht="13.35" customHeight="1"/>
    <row r="3315" s="29" customFormat="1" ht="13.35" customHeight="1"/>
    <row r="3316" s="29" customFormat="1" ht="13.35" customHeight="1"/>
    <row r="3317" s="29" customFormat="1" ht="13.35" customHeight="1"/>
    <row r="3318" s="29" customFormat="1" ht="13.35" customHeight="1"/>
    <row r="3319" s="29" customFormat="1" ht="13.35" customHeight="1"/>
    <row r="3320" s="29" customFormat="1" ht="13.35" customHeight="1"/>
    <row r="3321" s="29" customFormat="1" ht="13.35" customHeight="1"/>
    <row r="3322" s="29" customFormat="1" ht="13.35" customHeight="1"/>
    <row r="3323" s="29" customFormat="1" ht="13.35" customHeight="1"/>
    <row r="3324" s="29" customFormat="1" ht="13.35" customHeight="1"/>
    <row r="3325" s="29" customFormat="1" ht="13.35" customHeight="1"/>
    <row r="3326" s="29" customFormat="1" ht="13.35" customHeight="1"/>
    <row r="3327" s="29" customFormat="1" ht="13.35" customHeight="1"/>
    <row r="3328" s="29" customFormat="1" ht="13.35" customHeight="1"/>
    <row r="3329" spans="2:8">
      <c r="B3329" s="29"/>
      <c r="C3329" s="29"/>
      <c r="D3329" s="29"/>
      <c r="E3329" s="29"/>
      <c r="F3329" s="29"/>
      <c r="G3329" s="29"/>
      <c r="H3329" s="29"/>
    </row>
  </sheetData>
  <mergeCells count="1">
    <mergeCell ref="B3:C3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3" enableFormatConditionsCalculation="0">
    <tabColor theme="3"/>
    <pageSetUpPr fitToPage="1"/>
  </sheetPr>
  <dimension ref="A1:AI3328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117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v>3383</v>
      </c>
      <c r="E4" s="16">
        <v>10187</v>
      </c>
      <c r="F4" s="16">
        <v>-5854</v>
      </c>
      <c r="G4" s="15">
        <v>3460</v>
      </c>
      <c r="H4" s="16">
        <v>12030</v>
      </c>
      <c r="I4" s="16">
        <v>-8194</v>
      </c>
      <c r="J4" s="15">
        <v>3425</v>
      </c>
      <c r="K4" s="16">
        <v>12374</v>
      </c>
      <c r="L4" s="16">
        <v>-6950</v>
      </c>
      <c r="M4" s="15">
        <v>3309</v>
      </c>
      <c r="N4" s="16">
        <v>13174</v>
      </c>
      <c r="O4" s="17">
        <v>-6562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v>2164</v>
      </c>
      <c r="E5" s="16">
        <v>4880</v>
      </c>
      <c r="F5" s="16">
        <v>-3821</v>
      </c>
      <c r="G5" s="15">
        <v>2187</v>
      </c>
      <c r="H5" s="16">
        <v>4484</v>
      </c>
      <c r="I5" s="16">
        <v>-7692</v>
      </c>
      <c r="J5" s="15">
        <v>2166</v>
      </c>
      <c r="K5" s="16">
        <v>6807</v>
      </c>
      <c r="L5" s="16">
        <v>-8126</v>
      </c>
      <c r="M5" s="15">
        <v>2129</v>
      </c>
      <c r="N5" s="16">
        <v>5993</v>
      </c>
      <c r="O5" s="17">
        <v>-5219</v>
      </c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v>245</v>
      </c>
      <c r="E6" s="16">
        <v>478</v>
      </c>
      <c r="F6" s="16">
        <v>-258</v>
      </c>
      <c r="G6" s="15">
        <v>248</v>
      </c>
      <c r="H6" s="16">
        <v>460</v>
      </c>
      <c r="I6" s="16">
        <v>-398</v>
      </c>
      <c r="J6" s="15">
        <v>240</v>
      </c>
      <c r="K6" s="16">
        <v>513</v>
      </c>
      <c r="L6" s="16">
        <v>-276</v>
      </c>
      <c r="M6" s="15">
        <v>241</v>
      </c>
      <c r="N6" s="16">
        <v>517</v>
      </c>
      <c r="O6" s="17">
        <v>-259</v>
      </c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v>699</v>
      </c>
      <c r="E7" s="16">
        <v>1245</v>
      </c>
      <c r="F7" s="16">
        <v>-237</v>
      </c>
      <c r="G7" s="15">
        <v>691</v>
      </c>
      <c r="H7" s="16">
        <v>1299</v>
      </c>
      <c r="I7" s="16">
        <v>-356</v>
      </c>
      <c r="J7" s="15">
        <v>662</v>
      </c>
      <c r="K7" s="16">
        <v>1367</v>
      </c>
      <c r="L7" s="16">
        <v>-414</v>
      </c>
      <c r="M7" s="15">
        <v>653</v>
      </c>
      <c r="N7" s="16">
        <v>1692</v>
      </c>
      <c r="O7" s="17">
        <v>-177</v>
      </c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v>834</v>
      </c>
      <c r="E8" s="16">
        <v>3045</v>
      </c>
      <c r="F8" s="16">
        <v>-1734</v>
      </c>
      <c r="G8" s="15">
        <v>821</v>
      </c>
      <c r="H8" s="16">
        <v>2914</v>
      </c>
      <c r="I8" s="16">
        <v>-2851</v>
      </c>
      <c r="J8" s="15">
        <v>795</v>
      </c>
      <c r="K8" s="16">
        <v>3549</v>
      </c>
      <c r="L8" s="16">
        <v>-2069</v>
      </c>
      <c r="M8" s="15">
        <v>776</v>
      </c>
      <c r="N8" s="16">
        <v>3669</v>
      </c>
      <c r="O8" s="17">
        <v>-1980</v>
      </c>
    </row>
    <row r="9" spans="1:35" ht="13.35" customHeight="1">
      <c r="A9" s="13"/>
      <c r="B9" s="14" t="s">
        <v>64</v>
      </c>
      <c r="C9" s="14"/>
      <c r="D9" s="15">
        <v>231</v>
      </c>
      <c r="E9" s="16">
        <v>537</v>
      </c>
      <c r="F9" s="16">
        <v>-79</v>
      </c>
      <c r="G9" s="15">
        <v>231</v>
      </c>
      <c r="H9" s="16">
        <v>504</v>
      </c>
      <c r="I9" s="16">
        <v>-95</v>
      </c>
      <c r="J9" s="15">
        <v>225</v>
      </c>
      <c r="K9" s="16">
        <v>591</v>
      </c>
      <c r="L9" s="16">
        <v>-75</v>
      </c>
      <c r="M9" s="15">
        <v>208</v>
      </c>
      <c r="N9" s="16">
        <v>638</v>
      </c>
      <c r="O9" s="17">
        <v>-72</v>
      </c>
    </row>
    <row r="10" spans="1:35" ht="13.35" customHeight="1">
      <c r="A10" s="13"/>
      <c r="B10" s="14" t="s">
        <v>84</v>
      </c>
      <c r="C10" s="14"/>
      <c r="D10" s="15">
        <v>267</v>
      </c>
      <c r="E10" s="16">
        <v>3849</v>
      </c>
      <c r="F10" s="16">
        <v>-3667</v>
      </c>
      <c r="G10" s="15">
        <v>271</v>
      </c>
      <c r="H10" s="16">
        <v>5225</v>
      </c>
      <c r="I10" s="16">
        <v>-4458</v>
      </c>
      <c r="J10" s="15">
        <v>284</v>
      </c>
      <c r="K10" s="16">
        <v>2547</v>
      </c>
      <c r="L10" s="16">
        <v>-3490</v>
      </c>
      <c r="M10" s="15">
        <v>294</v>
      </c>
      <c r="N10" s="16">
        <v>3164</v>
      </c>
      <c r="O10" s="17">
        <v>-3861</v>
      </c>
    </row>
    <row r="11" spans="1:35" s="29" customFormat="1" ht="13.35" customHeight="1">
      <c r="A11" s="27"/>
      <c r="B11" s="28" t="s">
        <v>1</v>
      </c>
      <c r="C11" s="28"/>
      <c r="D11" s="15">
        <v>2926</v>
      </c>
      <c r="E11" s="16">
        <v>8397</v>
      </c>
      <c r="F11" s="16">
        <v>-2380</v>
      </c>
      <c r="G11" s="15">
        <v>2984</v>
      </c>
      <c r="H11" s="16">
        <v>10482</v>
      </c>
      <c r="I11" s="16">
        <v>-3155</v>
      </c>
      <c r="J11" s="15">
        <v>2903</v>
      </c>
      <c r="K11" s="16">
        <v>10405</v>
      </c>
      <c r="L11" s="16">
        <v>-3213</v>
      </c>
      <c r="M11" s="15">
        <v>2825</v>
      </c>
      <c r="N11" s="16">
        <v>9441</v>
      </c>
      <c r="O11" s="17">
        <v>-2349</v>
      </c>
    </row>
    <row r="12" spans="1:35" s="29" customFormat="1" ht="13.35" customHeight="1">
      <c r="A12" s="27"/>
      <c r="B12" s="28" t="s">
        <v>65</v>
      </c>
      <c r="C12" s="28"/>
      <c r="D12" s="15">
        <v>103</v>
      </c>
      <c r="E12" s="16">
        <v>164</v>
      </c>
      <c r="F12" s="16">
        <v>-85</v>
      </c>
      <c r="G12" s="15">
        <v>105</v>
      </c>
      <c r="H12" s="16">
        <v>190</v>
      </c>
      <c r="I12" s="16">
        <v>-105</v>
      </c>
      <c r="J12" s="15">
        <v>104</v>
      </c>
      <c r="K12" s="16">
        <v>201</v>
      </c>
      <c r="L12" s="16">
        <v>-139</v>
      </c>
      <c r="M12" s="15">
        <v>100</v>
      </c>
      <c r="N12" s="16">
        <v>211</v>
      </c>
      <c r="O12" s="17">
        <v>-151</v>
      </c>
    </row>
    <row r="13" spans="1:35" s="29" customFormat="1" ht="13.35" customHeight="1">
      <c r="A13" s="27"/>
      <c r="B13" s="30" t="s">
        <v>85</v>
      </c>
      <c r="C13" s="30"/>
      <c r="D13" s="15">
        <v>126</v>
      </c>
      <c r="E13" s="16">
        <v>1144</v>
      </c>
      <c r="F13" s="16">
        <v>-303</v>
      </c>
      <c r="G13" s="15">
        <v>132</v>
      </c>
      <c r="H13" s="16">
        <v>1279</v>
      </c>
      <c r="I13" s="16">
        <v>-373</v>
      </c>
      <c r="J13" s="15">
        <v>129</v>
      </c>
      <c r="K13" s="16">
        <v>1678</v>
      </c>
      <c r="L13" s="16">
        <v>-312</v>
      </c>
      <c r="M13" s="15">
        <v>134</v>
      </c>
      <c r="N13" s="16">
        <v>1779</v>
      </c>
      <c r="O13" s="17">
        <v>-388</v>
      </c>
    </row>
    <row r="14" spans="1:35" s="29" customFormat="1" ht="13.35" customHeight="1">
      <c r="A14" s="27"/>
      <c r="B14" s="30" t="s">
        <v>86</v>
      </c>
      <c r="C14" s="30"/>
      <c r="D14" s="15">
        <v>10472</v>
      </c>
      <c r="E14" s="16">
        <f>37245</f>
        <v>37245</v>
      </c>
      <c r="F14" s="16">
        <f>+-11780</f>
        <v>-11780</v>
      </c>
      <c r="G14" s="15">
        <v>10695</v>
      </c>
      <c r="H14" s="16">
        <f>41428</f>
        <v>41428</v>
      </c>
      <c r="I14" s="16">
        <f>-14971</f>
        <v>-14971</v>
      </c>
      <c r="J14" s="15">
        <v>10433</v>
      </c>
      <c r="K14" s="16">
        <f>43470</f>
        <v>43470</v>
      </c>
      <c r="L14" s="16">
        <f>-12848</f>
        <v>-12848</v>
      </c>
      <c r="M14" s="15">
        <v>10227</v>
      </c>
      <c r="N14" s="16">
        <f>46930</f>
        <v>46930</v>
      </c>
      <c r="O14" s="17">
        <f>-10407</f>
        <v>-10407</v>
      </c>
    </row>
    <row r="15" spans="1:35" s="29" customFormat="1" ht="13.35" customHeight="1">
      <c r="A15" s="27"/>
      <c r="B15" s="30" t="s">
        <v>66</v>
      </c>
      <c r="C15" s="30"/>
      <c r="D15" s="15">
        <v>783</v>
      </c>
      <c r="E15" s="16">
        <v>6844</v>
      </c>
      <c r="F15" s="16">
        <v>-2043</v>
      </c>
      <c r="G15" s="15">
        <v>782</v>
      </c>
      <c r="H15" s="16">
        <v>6929</v>
      </c>
      <c r="I15" s="16">
        <v>-2585</v>
      </c>
      <c r="J15" s="15">
        <v>773</v>
      </c>
      <c r="K15" s="16">
        <v>7996</v>
      </c>
      <c r="L15" s="16">
        <v>-2791</v>
      </c>
      <c r="M15" s="15">
        <v>754</v>
      </c>
      <c r="N15" s="16">
        <v>8339</v>
      </c>
      <c r="O15" s="17">
        <v>-2625</v>
      </c>
    </row>
    <row r="16" spans="1:35" s="29" customFormat="1" ht="13.35" customHeight="1">
      <c r="A16" s="27"/>
      <c r="B16" s="30" t="s">
        <v>87</v>
      </c>
      <c r="C16" s="30"/>
      <c r="D16" s="15">
        <v>44</v>
      </c>
      <c r="E16" s="16">
        <v>63</v>
      </c>
      <c r="F16" s="16">
        <v>-79</v>
      </c>
      <c r="G16" s="15">
        <v>42</v>
      </c>
      <c r="H16" s="16">
        <v>60</v>
      </c>
      <c r="I16" s="16">
        <v>-84</v>
      </c>
      <c r="J16" s="15">
        <v>38</v>
      </c>
      <c r="K16" s="16">
        <v>75</v>
      </c>
      <c r="L16" s="16">
        <v>-31</v>
      </c>
      <c r="M16" s="15">
        <v>37</v>
      </c>
      <c r="N16" s="16">
        <v>71</v>
      </c>
      <c r="O16" s="17">
        <v>-60</v>
      </c>
    </row>
    <row r="17" spans="1:15" s="29" customFormat="1" ht="13.35" customHeight="1">
      <c r="A17" s="27"/>
      <c r="B17" s="30" t="s">
        <v>67</v>
      </c>
      <c r="C17" s="30"/>
      <c r="D17" s="15">
        <v>1089</v>
      </c>
      <c r="E17" s="16">
        <v>3749</v>
      </c>
      <c r="F17" s="16">
        <v>-1768</v>
      </c>
      <c r="G17" s="15">
        <v>1091</v>
      </c>
      <c r="H17" s="16">
        <v>4500</v>
      </c>
      <c r="I17" s="16">
        <v>-2336</v>
      </c>
      <c r="J17" s="15">
        <v>1063</v>
      </c>
      <c r="K17" s="16">
        <v>5733</v>
      </c>
      <c r="L17" s="16">
        <v>-1354</v>
      </c>
      <c r="M17" s="15">
        <v>1048</v>
      </c>
      <c r="N17" s="16">
        <v>5515</v>
      </c>
      <c r="O17" s="17">
        <v>-1617</v>
      </c>
    </row>
    <row r="18" spans="1:15" s="29" customFormat="1" ht="13.35" customHeight="1">
      <c r="A18" s="27"/>
      <c r="B18" s="30" t="s">
        <v>88</v>
      </c>
      <c r="C18" s="30"/>
      <c r="D18" s="15">
        <v>506</v>
      </c>
      <c r="E18" s="16">
        <v>2279</v>
      </c>
      <c r="F18" s="16">
        <v>-202</v>
      </c>
      <c r="G18" s="15">
        <v>493</v>
      </c>
      <c r="H18" s="16">
        <v>2434</v>
      </c>
      <c r="I18" s="16">
        <v>-259</v>
      </c>
      <c r="J18" s="15">
        <v>465</v>
      </c>
      <c r="K18" s="16">
        <v>2835</v>
      </c>
      <c r="L18" s="16">
        <v>-272</v>
      </c>
      <c r="M18" s="15">
        <v>451</v>
      </c>
      <c r="N18" s="16">
        <v>3148</v>
      </c>
      <c r="O18" s="17">
        <v>-188</v>
      </c>
    </row>
    <row r="19" spans="1:15" s="29" customFormat="1" ht="13.35" customHeight="1">
      <c r="A19" s="27"/>
      <c r="B19" s="30" t="s">
        <v>139</v>
      </c>
      <c r="C19" s="30"/>
      <c r="D19" s="15">
        <v>1206</v>
      </c>
      <c r="E19" s="16">
        <v>3062</v>
      </c>
      <c r="F19" s="16">
        <v>-5353</v>
      </c>
      <c r="G19" s="15">
        <v>1204</v>
      </c>
      <c r="H19" s="16">
        <v>3745</v>
      </c>
      <c r="I19" s="16">
        <v>-6018</v>
      </c>
      <c r="J19" s="15">
        <v>1176</v>
      </c>
      <c r="K19" s="16">
        <v>3153</v>
      </c>
      <c r="L19" s="16">
        <v>-4835</v>
      </c>
      <c r="M19" s="15">
        <v>1154</v>
      </c>
      <c r="N19" s="16">
        <v>3014</v>
      </c>
      <c r="O19" s="17">
        <v>-4505</v>
      </c>
    </row>
    <row r="20" spans="1:15" s="29" customFormat="1" ht="13.35" customHeight="1">
      <c r="A20" s="27"/>
      <c r="B20" s="30" t="s">
        <v>68</v>
      </c>
      <c r="C20" s="30"/>
      <c r="D20" s="15">
        <v>786</v>
      </c>
      <c r="E20" s="16">
        <v>8477</v>
      </c>
      <c r="F20" s="16">
        <v>-18834</v>
      </c>
      <c r="G20" s="15">
        <v>813</v>
      </c>
      <c r="H20" s="16">
        <v>8235</v>
      </c>
      <c r="I20" s="16">
        <v>-22864</v>
      </c>
      <c r="J20" s="15">
        <v>799</v>
      </c>
      <c r="K20" s="16">
        <v>5833</v>
      </c>
      <c r="L20" s="16">
        <v>-24786</v>
      </c>
      <c r="M20" s="15">
        <v>796</v>
      </c>
      <c r="N20" s="16">
        <v>6337</v>
      </c>
      <c r="O20" s="17">
        <v>-22129</v>
      </c>
    </row>
    <row r="21" spans="1:15" s="29" customFormat="1" ht="13.35" customHeight="1">
      <c r="A21" s="27"/>
      <c r="B21" s="30" t="s">
        <v>69</v>
      </c>
      <c r="C21" s="30"/>
      <c r="D21" s="15">
        <v>423</v>
      </c>
      <c r="E21" s="16">
        <v>787</v>
      </c>
      <c r="F21" s="16">
        <v>-1553</v>
      </c>
      <c r="G21" s="15">
        <v>416</v>
      </c>
      <c r="H21" s="16">
        <v>902</v>
      </c>
      <c r="I21" s="16">
        <v>-1731</v>
      </c>
      <c r="J21" s="15">
        <v>400</v>
      </c>
      <c r="K21" s="16">
        <v>1030</v>
      </c>
      <c r="L21" s="16">
        <v>-1243</v>
      </c>
      <c r="M21" s="15">
        <v>383</v>
      </c>
      <c r="N21" s="16">
        <v>1033</v>
      </c>
      <c r="O21" s="17">
        <v>-1239</v>
      </c>
    </row>
    <row r="22" spans="1:15" s="29" customFormat="1" ht="13.35" customHeight="1">
      <c r="A22" s="27"/>
      <c r="B22" s="30" t="s">
        <v>70</v>
      </c>
      <c r="C22" s="30"/>
      <c r="D22" s="15">
        <v>448</v>
      </c>
      <c r="E22" s="16">
        <v>1875</v>
      </c>
      <c r="F22" s="16">
        <v>-863</v>
      </c>
      <c r="G22" s="15">
        <v>445</v>
      </c>
      <c r="H22" s="16">
        <v>1835</v>
      </c>
      <c r="I22" s="16">
        <v>-769</v>
      </c>
      <c r="J22" s="15">
        <v>438</v>
      </c>
      <c r="K22" s="16">
        <v>2199</v>
      </c>
      <c r="L22" s="16">
        <v>-594</v>
      </c>
      <c r="M22" s="15">
        <v>415</v>
      </c>
      <c r="N22" s="16">
        <v>2233</v>
      </c>
      <c r="O22" s="17">
        <v>-618</v>
      </c>
    </row>
    <row r="23" spans="1:15" s="29" customFormat="1" ht="13.35" customHeight="1">
      <c r="A23" s="27"/>
      <c r="B23" s="30" t="s">
        <v>71</v>
      </c>
      <c r="C23" s="30"/>
      <c r="D23" s="15">
        <v>148</v>
      </c>
      <c r="E23" s="16">
        <v>234</v>
      </c>
      <c r="F23" s="16">
        <v>-18</v>
      </c>
      <c r="G23" s="15">
        <v>146</v>
      </c>
      <c r="H23" s="16">
        <v>255</v>
      </c>
      <c r="I23" s="16">
        <v>-12</v>
      </c>
      <c r="J23" s="15">
        <v>132</v>
      </c>
      <c r="K23" s="16">
        <v>293</v>
      </c>
      <c r="L23" s="16">
        <v>-16</v>
      </c>
      <c r="M23" s="15">
        <v>119</v>
      </c>
      <c r="N23" s="16">
        <v>335</v>
      </c>
      <c r="O23" s="17">
        <v>-19</v>
      </c>
    </row>
    <row r="24" spans="1:15" s="29" customFormat="1" ht="13.35" customHeight="1">
      <c r="A24" s="27"/>
      <c r="B24" s="30" t="s">
        <v>103</v>
      </c>
      <c r="C24" s="30"/>
      <c r="D24" s="15">
        <v>456</v>
      </c>
      <c r="E24" s="16">
        <v>825</v>
      </c>
      <c r="F24" s="16">
        <v>-3093</v>
      </c>
      <c r="G24" s="15">
        <v>456</v>
      </c>
      <c r="H24" s="16">
        <v>559</v>
      </c>
      <c r="I24" s="16">
        <v>-4466</v>
      </c>
      <c r="J24" s="15">
        <v>461</v>
      </c>
      <c r="K24" s="16">
        <v>908</v>
      </c>
      <c r="L24" s="16">
        <v>-6335</v>
      </c>
      <c r="M24" s="15">
        <v>485</v>
      </c>
      <c r="N24" s="16">
        <v>1184</v>
      </c>
      <c r="O24" s="17">
        <v>-4423</v>
      </c>
    </row>
    <row r="25" spans="1:15" s="29" customFormat="1" ht="13.35" customHeight="1">
      <c r="A25" s="27"/>
      <c r="B25" s="30" t="s">
        <v>89</v>
      </c>
      <c r="C25" s="30"/>
      <c r="D25" s="15">
        <v>308</v>
      </c>
      <c r="E25" s="16">
        <v>1283</v>
      </c>
      <c r="F25" s="16">
        <v>-201</v>
      </c>
      <c r="G25" s="15">
        <v>313</v>
      </c>
      <c r="H25" s="16">
        <v>1568</v>
      </c>
      <c r="I25" s="16">
        <v>-203</v>
      </c>
      <c r="J25" s="15">
        <v>316</v>
      </c>
      <c r="K25" s="16">
        <v>1805</v>
      </c>
      <c r="L25" s="16">
        <v>-398</v>
      </c>
      <c r="M25" s="15">
        <v>319</v>
      </c>
      <c r="N25" s="16">
        <v>2157</v>
      </c>
      <c r="O25" s="17">
        <v>-582</v>
      </c>
    </row>
    <row r="26" spans="1:15" s="29" customFormat="1" ht="13.35" customHeight="1">
      <c r="A26" s="27"/>
      <c r="B26" s="30" t="s">
        <v>72</v>
      </c>
      <c r="C26" s="30"/>
      <c r="D26" s="15">
        <v>62</v>
      </c>
      <c r="E26" s="16">
        <v>308</v>
      </c>
      <c r="F26" s="16">
        <v>-61</v>
      </c>
      <c r="G26" s="15">
        <v>59</v>
      </c>
      <c r="H26" s="16">
        <v>314</v>
      </c>
      <c r="I26" s="16">
        <v>-95</v>
      </c>
      <c r="J26" s="15">
        <v>58</v>
      </c>
      <c r="K26" s="16">
        <v>296</v>
      </c>
      <c r="L26" s="16">
        <v>-133</v>
      </c>
      <c r="M26" s="15">
        <v>60</v>
      </c>
      <c r="N26" s="16">
        <v>339</v>
      </c>
      <c r="O26" s="17">
        <v>-80</v>
      </c>
    </row>
    <row r="27" spans="1:15" s="29" customFormat="1" ht="13.35" customHeight="1">
      <c r="A27" s="27"/>
      <c r="B27" s="30" t="s">
        <v>73</v>
      </c>
      <c r="C27" s="30"/>
      <c r="D27" s="15">
        <v>5874</v>
      </c>
      <c r="E27" s="16">
        <v>7793</v>
      </c>
      <c r="F27" s="16">
        <v>-2759</v>
      </c>
      <c r="G27" s="15">
        <v>6003</v>
      </c>
      <c r="H27" s="16">
        <v>8152</v>
      </c>
      <c r="I27" s="16">
        <v>-3433</v>
      </c>
      <c r="J27" s="15">
        <v>5869</v>
      </c>
      <c r="K27" s="16">
        <v>8992</v>
      </c>
      <c r="L27" s="16">
        <v>-3098</v>
      </c>
      <c r="M27" s="15">
        <v>5817</v>
      </c>
      <c r="N27" s="16">
        <v>10092</v>
      </c>
      <c r="O27" s="17">
        <v>-3245</v>
      </c>
    </row>
    <row r="28" spans="1:15" s="29" customFormat="1" ht="13.35" customHeight="1">
      <c r="A28" s="27"/>
      <c r="B28" s="30" t="s">
        <v>74</v>
      </c>
      <c r="C28" s="30"/>
      <c r="D28" s="15">
        <v>86</v>
      </c>
      <c r="E28" s="16">
        <v>193</v>
      </c>
      <c r="F28" s="16">
        <v>-81</v>
      </c>
      <c r="G28" s="15">
        <v>84</v>
      </c>
      <c r="H28" s="16">
        <v>226</v>
      </c>
      <c r="I28" s="16">
        <v>-87</v>
      </c>
      <c r="J28" s="15">
        <v>85</v>
      </c>
      <c r="K28" s="16">
        <v>259</v>
      </c>
      <c r="L28" s="16">
        <v>-92</v>
      </c>
      <c r="M28" s="15">
        <v>86</v>
      </c>
      <c r="N28" s="16">
        <v>307</v>
      </c>
      <c r="O28" s="17">
        <v>-80</v>
      </c>
    </row>
    <row r="29" spans="1:15" s="29" customFormat="1" ht="13.35" customHeight="1">
      <c r="A29" s="27"/>
      <c r="B29" s="30" t="s">
        <v>75</v>
      </c>
      <c r="C29" s="30"/>
      <c r="D29" s="15">
        <v>257</v>
      </c>
      <c r="E29" s="16">
        <v>180</v>
      </c>
      <c r="F29" s="16">
        <v>-139</v>
      </c>
      <c r="G29" s="15">
        <v>263</v>
      </c>
      <c r="H29" s="16">
        <v>191</v>
      </c>
      <c r="I29" s="16">
        <v>-186</v>
      </c>
      <c r="J29" s="15">
        <v>265</v>
      </c>
      <c r="K29" s="16">
        <v>200</v>
      </c>
      <c r="L29" s="16">
        <v>-274</v>
      </c>
      <c r="M29" s="15">
        <v>261</v>
      </c>
      <c r="N29" s="16">
        <v>220</v>
      </c>
      <c r="O29" s="17">
        <v>-224</v>
      </c>
    </row>
    <row r="30" spans="1:15" s="29" customFormat="1" ht="13.35" customHeight="1">
      <c r="A30" s="27"/>
      <c r="B30" s="30" t="s">
        <v>90</v>
      </c>
      <c r="C30" s="30"/>
      <c r="D30" s="15">
        <v>391</v>
      </c>
      <c r="E30" s="16">
        <v>687</v>
      </c>
      <c r="F30" s="16">
        <v>-83</v>
      </c>
      <c r="G30" s="15">
        <v>389</v>
      </c>
      <c r="H30" s="16">
        <v>835</v>
      </c>
      <c r="I30" s="16">
        <v>-153</v>
      </c>
      <c r="J30" s="15">
        <v>380</v>
      </c>
      <c r="K30" s="16">
        <v>792</v>
      </c>
      <c r="L30" s="16">
        <v>-357</v>
      </c>
      <c r="M30" s="15">
        <v>367</v>
      </c>
      <c r="N30" s="16">
        <v>823</v>
      </c>
      <c r="O30" s="17">
        <v>-310</v>
      </c>
    </row>
    <row r="31" spans="1:15" s="29" customFormat="1" ht="13.35" customHeight="1">
      <c r="A31" s="27"/>
      <c r="B31" s="30" t="s">
        <v>2</v>
      </c>
      <c r="C31" s="30"/>
      <c r="D31" s="15">
        <v>234</v>
      </c>
      <c r="E31" s="16">
        <v>549</v>
      </c>
      <c r="F31" s="16">
        <v>-233</v>
      </c>
      <c r="G31" s="15">
        <v>218</v>
      </c>
      <c r="H31" s="16">
        <v>522</v>
      </c>
      <c r="I31" s="16">
        <v>-247</v>
      </c>
      <c r="J31" s="15">
        <v>220</v>
      </c>
      <c r="K31" s="16">
        <v>698</v>
      </c>
      <c r="L31" s="16">
        <v>-196</v>
      </c>
      <c r="M31" s="15">
        <v>215</v>
      </c>
      <c r="N31" s="16">
        <v>879</v>
      </c>
      <c r="O31" s="17">
        <v>-169</v>
      </c>
    </row>
    <row r="32" spans="1:15" s="29" customFormat="1" ht="13.35" customHeight="1">
      <c r="A32" s="27"/>
      <c r="B32" s="30" t="s">
        <v>76</v>
      </c>
      <c r="C32" s="30"/>
      <c r="D32" s="15">
        <v>141</v>
      </c>
      <c r="E32" s="16">
        <v>353</v>
      </c>
      <c r="F32" s="16">
        <v>-431</v>
      </c>
      <c r="G32" s="15">
        <v>148</v>
      </c>
      <c r="H32" s="16">
        <v>444</v>
      </c>
      <c r="I32" s="16">
        <v>-645</v>
      </c>
      <c r="J32" s="15">
        <v>151</v>
      </c>
      <c r="K32" s="16">
        <v>439</v>
      </c>
      <c r="L32" s="16">
        <v>-521</v>
      </c>
      <c r="M32" s="15">
        <v>145</v>
      </c>
      <c r="N32" s="16">
        <v>417</v>
      </c>
      <c r="O32" s="17">
        <v>-250</v>
      </c>
    </row>
    <row r="33" spans="1:16" s="29" customFormat="1" ht="13.35" customHeight="1">
      <c r="A33" s="27"/>
      <c r="B33" s="30" t="s">
        <v>77</v>
      </c>
      <c r="C33" s="30"/>
      <c r="D33" s="15">
        <v>1828</v>
      </c>
      <c r="E33" s="16">
        <v>8343</v>
      </c>
      <c r="F33" s="16">
        <v>-3720</v>
      </c>
      <c r="G33" s="15">
        <v>1849</v>
      </c>
      <c r="H33" s="16">
        <v>8767</v>
      </c>
      <c r="I33" s="16">
        <v>-4856</v>
      </c>
      <c r="J33" s="15">
        <v>1813</v>
      </c>
      <c r="K33" s="16">
        <v>10507</v>
      </c>
      <c r="L33" s="16">
        <v>-4994</v>
      </c>
      <c r="M33" s="15">
        <v>1778</v>
      </c>
      <c r="N33" s="16">
        <v>10857</v>
      </c>
      <c r="O33" s="17">
        <v>-4203</v>
      </c>
    </row>
    <row r="34" spans="1:16" s="33" customFormat="1" ht="13.35" customHeight="1">
      <c r="A34" s="31"/>
      <c r="B34" s="32" t="s">
        <v>91</v>
      </c>
      <c r="C34" s="32"/>
      <c r="D34" s="15">
        <v>882</v>
      </c>
      <c r="E34" s="16">
        <v>2254</v>
      </c>
      <c r="F34" s="16">
        <v>-6781</v>
      </c>
      <c r="G34" s="15">
        <v>899</v>
      </c>
      <c r="H34" s="16">
        <v>2643</v>
      </c>
      <c r="I34" s="16">
        <v>-10648</v>
      </c>
      <c r="J34" s="15">
        <v>864</v>
      </c>
      <c r="K34" s="16">
        <v>3527</v>
      </c>
      <c r="L34" s="16">
        <v>-5618</v>
      </c>
      <c r="M34" s="15">
        <v>813</v>
      </c>
      <c r="N34" s="16">
        <v>3256</v>
      </c>
      <c r="O34" s="17">
        <v>-7589</v>
      </c>
    </row>
    <row r="35" spans="1:16" s="33" customFormat="1" ht="13.35" customHeight="1">
      <c r="A35" s="31"/>
      <c r="B35" s="32" t="s">
        <v>78</v>
      </c>
      <c r="C35" s="32"/>
      <c r="D35" s="15">
        <v>4016</v>
      </c>
      <c r="E35" s="16">
        <v>6815</v>
      </c>
      <c r="F35" s="16">
        <v>-4267</v>
      </c>
      <c r="G35" s="15">
        <v>4023</v>
      </c>
      <c r="H35" s="16">
        <v>7056</v>
      </c>
      <c r="I35" s="16">
        <v>-5474</v>
      </c>
      <c r="J35" s="15">
        <v>3932</v>
      </c>
      <c r="K35" s="16">
        <v>7483</v>
      </c>
      <c r="L35" s="16">
        <v>-4615</v>
      </c>
      <c r="M35" s="15">
        <v>3804</v>
      </c>
      <c r="N35" s="16">
        <v>7779</v>
      </c>
      <c r="O35" s="17">
        <v>-4621</v>
      </c>
    </row>
    <row r="36" spans="1:16" s="33" customFormat="1" ht="13.35" customHeight="1">
      <c r="A36" s="31"/>
      <c r="B36" s="32" t="s">
        <v>92</v>
      </c>
      <c r="C36" s="32"/>
      <c r="D36" s="15">
        <v>290</v>
      </c>
      <c r="E36" s="16">
        <v>520</v>
      </c>
      <c r="F36" s="16">
        <v>-167</v>
      </c>
      <c r="G36" s="15">
        <v>276</v>
      </c>
      <c r="H36" s="16">
        <v>481</v>
      </c>
      <c r="I36" s="16">
        <v>-190</v>
      </c>
      <c r="J36" s="15">
        <v>258</v>
      </c>
      <c r="K36" s="16">
        <v>532</v>
      </c>
      <c r="L36" s="16">
        <v>-162</v>
      </c>
      <c r="M36" s="15">
        <v>239</v>
      </c>
      <c r="N36" s="16">
        <v>546</v>
      </c>
      <c r="O36" s="17">
        <v>-105</v>
      </c>
    </row>
    <row r="37" spans="1:16" s="33" customFormat="1" ht="13.35" hidden="1" customHeight="1">
      <c r="A37" s="31"/>
      <c r="B37" s="32" t="s">
        <v>42</v>
      </c>
      <c r="C37" s="32"/>
      <c r="D37" s="15">
        <v>0</v>
      </c>
      <c r="E37" s="16">
        <v>0</v>
      </c>
      <c r="F37" s="16">
        <v>0</v>
      </c>
      <c r="G37" s="15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5">
        <v>0</v>
      </c>
      <c r="N37" s="16">
        <v>0</v>
      </c>
      <c r="O37" s="17">
        <v>0</v>
      </c>
      <c r="P37" s="104"/>
    </row>
    <row r="38" spans="1:16" s="29" customFormat="1" ht="13.35" customHeight="1">
      <c r="A38" s="34"/>
      <c r="B38" s="35" t="s">
        <v>0</v>
      </c>
      <c r="C38" s="36"/>
      <c r="D38" s="37">
        <f t="shared" ref="D38:O38" si="0">SUM(D4:D37)</f>
        <v>41708</v>
      </c>
      <c r="E38" s="38">
        <f t="shared" si="0"/>
        <v>128644</v>
      </c>
      <c r="F38" s="38">
        <f t="shared" si="0"/>
        <v>-82927</v>
      </c>
      <c r="G38" s="37">
        <f t="shared" si="0"/>
        <v>42237</v>
      </c>
      <c r="H38" s="38">
        <f t="shared" si="0"/>
        <v>140948</v>
      </c>
      <c r="I38" s="38">
        <f t="shared" si="0"/>
        <v>-109989</v>
      </c>
      <c r="J38" s="37">
        <f t="shared" si="0"/>
        <v>41322</v>
      </c>
      <c r="K38" s="38">
        <f t="shared" si="0"/>
        <v>149087</v>
      </c>
      <c r="L38" s="38">
        <f t="shared" si="0"/>
        <v>-100627</v>
      </c>
      <c r="M38" s="37">
        <f t="shared" si="0"/>
        <v>40442</v>
      </c>
      <c r="N38" s="38">
        <f t="shared" si="0"/>
        <v>156089</v>
      </c>
      <c r="O38" s="39">
        <f t="shared" si="0"/>
        <v>-90306</v>
      </c>
    </row>
    <row r="39" spans="1:16" s="29" customFormat="1" ht="12" hidden="1" customHeight="1">
      <c r="B39" s="63" t="s">
        <v>94</v>
      </c>
    </row>
    <row r="40" spans="1:16" s="29" customFormat="1" ht="13.35" customHeight="1"/>
    <row r="41" spans="1:16" s="29" customFormat="1" ht="13.35" customHeight="1"/>
    <row r="42" spans="1:16" s="29" customFormat="1" ht="13.35" customHeight="1">
      <c r="N42" s="105"/>
      <c r="O42" s="105"/>
    </row>
    <row r="43" spans="1:16" s="29" customFormat="1" ht="13.35" customHeight="1">
      <c r="J43" s="14"/>
      <c r="N43" s="105"/>
      <c r="O43" s="105"/>
    </row>
    <row r="44" spans="1:16" s="29" customFormat="1" ht="13.35" customHeight="1"/>
    <row r="45" spans="1:16" s="29" customFormat="1" ht="13.35" customHeight="1"/>
    <row r="46" spans="1:16" s="29" customFormat="1" ht="13.35" customHeight="1">
      <c r="J46" s="14"/>
      <c r="N46" s="105"/>
      <c r="O46" s="105"/>
    </row>
    <row r="47" spans="1:16" s="29" customFormat="1" ht="13.35" customHeight="1">
      <c r="J47" s="14"/>
      <c r="N47" s="105"/>
      <c r="O47" s="105"/>
    </row>
    <row r="48" spans="1:16" s="29" customFormat="1" ht="13.35" customHeight="1">
      <c r="J48" s="14"/>
      <c r="N48" s="105"/>
      <c r="O48" s="105"/>
    </row>
    <row r="49" spans="10:15" s="29" customFormat="1" ht="13.35" customHeight="1">
      <c r="J49" s="14"/>
      <c r="N49" s="105"/>
      <c r="O49" s="105"/>
    </row>
    <row r="50" spans="10:15" s="29" customFormat="1" ht="13.35" customHeight="1">
      <c r="J50" s="28"/>
      <c r="N50" s="105"/>
      <c r="O50" s="105"/>
    </row>
    <row r="51" spans="10:15" s="29" customFormat="1" ht="13.35" customHeight="1">
      <c r="J51" s="28"/>
      <c r="N51" s="105"/>
      <c r="O51" s="105"/>
    </row>
    <row r="52" spans="10:15" s="29" customFormat="1" ht="13.35" customHeight="1">
      <c r="J52" s="30"/>
      <c r="N52" s="105"/>
      <c r="O52" s="105"/>
    </row>
    <row r="53" spans="10:15" s="29" customFormat="1" ht="13.35" customHeight="1">
      <c r="J53" s="30"/>
      <c r="N53" s="105"/>
      <c r="O53" s="105"/>
    </row>
    <row r="54" spans="10:15" s="29" customFormat="1" ht="13.35" customHeight="1">
      <c r="J54" s="30"/>
      <c r="N54" s="105"/>
      <c r="O54" s="105"/>
    </row>
    <row r="55" spans="10:15" s="29" customFormat="1" ht="13.35" customHeight="1">
      <c r="J55" s="30"/>
    </row>
    <row r="56" spans="10:15" s="29" customFormat="1" ht="13.35" customHeight="1">
      <c r="J56" s="30"/>
      <c r="N56" s="105"/>
      <c r="O56" s="105"/>
    </row>
    <row r="57" spans="10:15" s="29" customFormat="1" ht="13.35" customHeight="1">
      <c r="J57" s="30"/>
      <c r="N57" s="105"/>
      <c r="O57" s="105"/>
    </row>
    <row r="58" spans="10:15" s="29" customFormat="1" ht="13.35" customHeight="1">
      <c r="J58" s="30"/>
      <c r="N58" s="105"/>
      <c r="O58" s="105"/>
    </row>
    <row r="59" spans="10:15" s="29" customFormat="1" ht="13.35" customHeight="1">
      <c r="J59" s="30"/>
      <c r="N59" s="105"/>
      <c r="O59" s="105"/>
    </row>
    <row r="60" spans="10:15" s="29" customFormat="1" ht="13.35" customHeight="1">
      <c r="J60" s="30"/>
      <c r="N60" s="105"/>
      <c r="O60" s="105"/>
    </row>
    <row r="61" spans="10:15" s="29" customFormat="1" ht="13.35" customHeight="1">
      <c r="J61" s="30"/>
      <c r="N61" s="105"/>
      <c r="O61" s="105"/>
    </row>
    <row r="62" spans="10:15" s="29" customFormat="1" ht="13.35" customHeight="1">
      <c r="J62" s="30"/>
      <c r="N62" s="105"/>
      <c r="O62" s="105"/>
    </row>
    <row r="63" spans="10:15" s="29" customFormat="1" ht="13.35" customHeight="1">
      <c r="J63" s="30"/>
      <c r="N63" s="105"/>
      <c r="O63" s="105"/>
    </row>
    <row r="64" spans="10:15" s="29" customFormat="1" ht="13.35" customHeight="1">
      <c r="J64" s="30"/>
      <c r="N64" s="105"/>
      <c r="O64" s="105"/>
    </row>
    <row r="65" spans="10:15" s="29" customFormat="1" ht="13.35" customHeight="1">
      <c r="J65" s="30"/>
      <c r="N65" s="105"/>
      <c r="O65" s="105"/>
    </row>
    <row r="66" spans="10:15" s="29" customFormat="1" ht="13.35" customHeight="1">
      <c r="J66" s="30"/>
      <c r="N66" s="105"/>
      <c r="O66" s="105"/>
    </row>
    <row r="67" spans="10:15" s="29" customFormat="1" ht="13.35" customHeight="1">
      <c r="J67" s="30"/>
      <c r="N67" s="105"/>
      <c r="O67" s="105"/>
    </row>
    <row r="68" spans="10:15" s="29" customFormat="1" ht="13.35" customHeight="1">
      <c r="J68" s="30"/>
      <c r="N68" s="105"/>
      <c r="O68" s="105"/>
    </row>
    <row r="69" spans="10:15" s="29" customFormat="1" ht="13.35" customHeight="1">
      <c r="J69" s="30"/>
      <c r="N69" s="105"/>
      <c r="O69" s="105"/>
    </row>
    <row r="70" spans="10:15" s="29" customFormat="1" ht="13.35" customHeight="1">
      <c r="J70" s="30"/>
      <c r="N70" s="105"/>
      <c r="O70" s="105"/>
    </row>
    <row r="71" spans="10:15" s="29" customFormat="1" ht="13.35" customHeight="1">
      <c r="J71" s="32"/>
      <c r="N71" s="105"/>
      <c r="O71" s="105"/>
    </row>
    <row r="72" spans="10:15" s="29" customFormat="1" ht="13.35" customHeight="1">
      <c r="J72" s="32"/>
      <c r="N72" s="105"/>
      <c r="O72" s="105"/>
    </row>
    <row r="73" spans="10:15" s="29" customFormat="1" ht="13.35" customHeight="1">
      <c r="J73" s="32"/>
    </row>
    <row r="74" spans="10:15" s="29" customFormat="1" ht="13.35" customHeight="1">
      <c r="J74" s="32"/>
    </row>
    <row r="75" spans="10:15" s="29" customFormat="1" ht="13.35" customHeight="1">
      <c r="N75" s="102"/>
      <c r="O75" s="102"/>
    </row>
    <row r="76" spans="10:15" s="29" customFormat="1" ht="13.35" customHeight="1">
      <c r="N76" s="103"/>
      <c r="O76" s="103"/>
    </row>
    <row r="77" spans="10:15" s="29" customFormat="1" ht="13.35" customHeight="1">
      <c r="J77" s="14"/>
      <c r="N77" s="105"/>
      <c r="O77" s="105"/>
    </row>
    <row r="78" spans="10:15" s="29" customFormat="1" ht="13.35" customHeight="1">
      <c r="N78" s="103"/>
      <c r="O78" s="103"/>
    </row>
    <row r="79" spans="10:15" s="29" customFormat="1" ht="13.35" customHeight="1">
      <c r="J79" s="14"/>
      <c r="N79" s="105"/>
      <c r="O79" s="105"/>
    </row>
    <row r="80" spans="10:15" s="29" customFormat="1" ht="13.35" customHeight="1">
      <c r="N80" s="103"/>
      <c r="O80" s="103"/>
    </row>
    <row r="81" spans="14:15" s="29" customFormat="1" ht="13.35" customHeight="1">
      <c r="N81" s="103"/>
      <c r="O81" s="103"/>
    </row>
    <row r="82" spans="14:15" s="29" customFormat="1" ht="13.35" customHeight="1">
      <c r="N82" s="103"/>
      <c r="O82" s="103"/>
    </row>
    <row r="83" spans="14:15" s="29" customFormat="1" ht="13.35" customHeight="1">
      <c r="N83" s="103"/>
      <c r="O83" s="103"/>
    </row>
    <row r="84" spans="14:15" s="29" customFormat="1" ht="13.35" customHeight="1">
      <c r="N84" s="103"/>
      <c r="O84" s="103"/>
    </row>
    <row r="85" spans="14:15" s="29" customFormat="1" ht="13.35" customHeight="1">
      <c r="N85" s="103"/>
      <c r="O85" s="103"/>
    </row>
    <row r="86" spans="14:15" s="29" customFormat="1" ht="13.35" customHeight="1">
      <c r="N86" s="103"/>
      <c r="O86" s="103"/>
    </row>
    <row r="87" spans="14:15" s="29" customFormat="1" ht="13.35" customHeight="1">
      <c r="N87" s="103"/>
      <c r="O87" s="103"/>
    </row>
    <row r="88" spans="14:15" s="29" customFormat="1" ht="13.35" customHeight="1">
      <c r="N88" s="103"/>
      <c r="O88" s="103"/>
    </row>
    <row r="89" spans="14:15" s="29" customFormat="1" ht="13.35" customHeight="1"/>
    <row r="90" spans="14:15" s="29" customFormat="1" ht="13.35" customHeight="1">
      <c r="N90" s="103"/>
      <c r="O90" s="103"/>
    </row>
    <row r="91" spans="14:15" s="29" customFormat="1" ht="13.35" customHeight="1">
      <c r="N91" s="103"/>
      <c r="O91" s="103"/>
    </row>
    <row r="92" spans="14:15" s="29" customFormat="1" ht="13.35" customHeight="1">
      <c r="N92" s="103"/>
      <c r="O92" s="103"/>
    </row>
    <row r="93" spans="14:15" s="29" customFormat="1" ht="13.35" customHeight="1">
      <c r="N93" s="103"/>
      <c r="O93" s="103"/>
    </row>
    <row r="94" spans="14:15" s="29" customFormat="1" ht="13.35" customHeight="1">
      <c r="N94" s="103"/>
      <c r="O94" s="103"/>
    </row>
    <row r="95" spans="14:15" s="29" customFormat="1" ht="13.35" customHeight="1">
      <c r="N95" s="103"/>
      <c r="O95" s="103"/>
    </row>
    <row r="96" spans="14:15" s="29" customFormat="1" ht="13.35" customHeight="1">
      <c r="N96" s="103"/>
      <c r="O96" s="103"/>
    </row>
    <row r="97" spans="14:15" s="29" customFormat="1" ht="13.35" customHeight="1">
      <c r="N97" s="103"/>
      <c r="O97" s="103"/>
    </row>
    <row r="98" spans="14:15" s="29" customFormat="1" ht="13.35" customHeight="1">
      <c r="N98" s="103"/>
      <c r="O98" s="103"/>
    </row>
    <row r="99" spans="14:15" s="29" customFormat="1" ht="13.35" customHeight="1">
      <c r="N99" s="103"/>
      <c r="O99" s="103"/>
    </row>
    <row r="100" spans="14:15" s="29" customFormat="1" ht="13.35" customHeight="1">
      <c r="N100" s="103"/>
      <c r="O100" s="103"/>
    </row>
    <row r="101" spans="14:15" s="29" customFormat="1" ht="13.35" customHeight="1">
      <c r="N101" s="103"/>
      <c r="O101" s="103"/>
    </row>
    <row r="102" spans="14:15" s="29" customFormat="1" ht="13.35" customHeight="1">
      <c r="N102" s="103"/>
      <c r="O102" s="103"/>
    </row>
    <row r="103" spans="14:15" s="29" customFormat="1" ht="13.35" customHeight="1">
      <c r="N103" s="103"/>
      <c r="O103" s="103"/>
    </row>
    <row r="104" spans="14:15" s="29" customFormat="1" ht="13.35" customHeight="1">
      <c r="N104" s="103"/>
      <c r="O104" s="103"/>
    </row>
    <row r="105" spans="14:15" s="29" customFormat="1" ht="13.35" customHeight="1">
      <c r="N105" s="103"/>
      <c r="O105" s="103"/>
    </row>
    <row r="106" spans="14:15" s="29" customFormat="1" ht="13.35" customHeight="1">
      <c r="N106" s="103"/>
      <c r="O106" s="103"/>
    </row>
    <row r="107" spans="14:15" s="29" customFormat="1" ht="13.35" customHeight="1">
      <c r="N107" s="103"/>
      <c r="O107" s="103"/>
    </row>
    <row r="108" spans="14:15" s="29" customFormat="1" ht="13.35" customHeight="1">
      <c r="N108" s="103"/>
      <c r="O108" s="103"/>
    </row>
    <row r="109" spans="14:15" s="29" customFormat="1" ht="13.35" customHeight="1">
      <c r="N109" s="102"/>
      <c r="O109" s="102"/>
    </row>
    <row r="110" spans="14:15" s="29" customFormat="1" ht="13.35" customHeight="1">
      <c r="N110" s="102"/>
      <c r="O110" s="102"/>
    </row>
    <row r="111" spans="14:15" s="29" customFormat="1" ht="13.35" customHeight="1">
      <c r="N111" s="102"/>
      <c r="O111" s="102"/>
    </row>
    <row r="112" spans="14:15" s="29" customFormat="1" ht="13.35" customHeight="1">
      <c r="N112" s="102"/>
      <c r="O112" s="102"/>
    </row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="29" customFormat="1" ht="13.35" customHeight="1"/>
    <row r="3298" s="29" customFormat="1" ht="13.35" customHeight="1"/>
    <row r="3299" s="29" customFormat="1" ht="13.35" customHeight="1"/>
    <row r="3300" s="29" customFormat="1" ht="13.35" customHeight="1"/>
    <row r="3301" s="29" customFormat="1" ht="13.35" customHeight="1"/>
    <row r="3302" s="29" customFormat="1" ht="13.35" customHeight="1"/>
    <row r="3303" s="29" customFormat="1" ht="13.35" customHeight="1"/>
    <row r="3304" s="29" customFormat="1" ht="13.35" customHeight="1"/>
    <row r="3305" s="29" customFormat="1" ht="13.35" customHeight="1"/>
    <row r="3306" s="29" customFormat="1" ht="13.35" customHeight="1"/>
    <row r="3307" s="29" customFormat="1" ht="13.35" customHeight="1"/>
    <row r="3308" s="29" customFormat="1" ht="13.35" customHeight="1"/>
    <row r="3309" s="29" customFormat="1" ht="13.35" customHeight="1"/>
    <row r="3310" s="29" customFormat="1" ht="13.35" customHeight="1"/>
    <row r="3311" s="29" customFormat="1" ht="13.35" customHeight="1"/>
    <row r="3312" s="29" customFormat="1" ht="13.35" customHeight="1"/>
    <row r="3313" spans="2:8" s="29" customFormat="1" ht="13.35" customHeight="1"/>
    <row r="3314" spans="2:8" s="29" customFormat="1" ht="13.35" customHeight="1"/>
    <row r="3315" spans="2:8" s="29" customFormat="1" ht="13.35" customHeight="1"/>
    <row r="3316" spans="2:8" s="29" customFormat="1" ht="13.35" customHeight="1"/>
    <row r="3317" spans="2:8" s="29" customFormat="1" ht="13.35" customHeight="1"/>
    <row r="3318" spans="2:8" s="29" customFormat="1" ht="13.35" customHeight="1"/>
    <row r="3319" spans="2:8" s="29" customFormat="1" ht="13.35" customHeight="1"/>
    <row r="3320" spans="2:8" s="29" customFormat="1" ht="13.35" customHeight="1"/>
    <row r="3321" spans="2:8" s="29" customFormat="1" ht="13.35" customHeight="1"/>
    <row r="3322" spans="2:8" s="29" customFormat="1" ht="13.35" customHeight="1"/>
    <row r="3323" spans="2:8" s="29" customFormat="1" ht="13.35" customHeight="1"/>
    <row r="3324" spans="2:8" s="29" customFormat="1" ht="13.35" customHeight="1"/>
    <row r="3325" spans="2:8" s="29" customFormat="1" ht="13.35" customHeight="1"/>
    <row r="3326" spans="2:8" s="29" customFormat="1" ht="13.35" customHeight="1"/>
    <row r="3327" spans="2:8" s="29" customFormat="1" ht="13.35" customHeight="1"/>
    <row r="3328" spans="2:8">
      <c r="B3328" s="29"/>
      <c r="C3328" s="29"/>
      <c r="D3328" s="29"/>
      <c r="E3328" s="29"/>
      <c r="F3328" s="29"/>
      <c r="G3328" s="29"/>
      <c r="H3328" s="29"/>
    </row>
  </sheetData>
  <mergeCells count="1">
    <mergeCell ref="B3:C3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46" enableFormatConditionsCalculation="0">
    <tabColor theme="3"/>
    <pageSetUpPr fitToPage="1"/>
  </sheetPr>
  <dimension ref="A1:AI3333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118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f>A4.1.1!D4-A4.2.2!D4-A4.2.3!D4-A4.2.4!D4</f>
        <v>116</v>
      </c>
      <c r="E4" s="16">
        <f>A4.1.1!E4-A4.2.2!E4-A4.2.3!E4-A4.2.4!E4</f>
        <v>5</v>
      </c>
      <c r="F4" s="16">
        <f>A4.1.1!F4-A4.2.2!F4-A4.2.3!F4-A4.2.4!F4</f>
        <v>-2</v>
      </c>
      <c r="G4" s="15">
        <f>A4.1.1!G4-A4.2.2!G4-A4.2.3!G4-A4.2.4!G4</f>
        <v>124</v>
      </c>
      <c r="H4" s="16">
        <f>A4.1.1!H4-A4.2.2!H4-A4.2.3!H4-A4.2.4!H4</f>
        <v>6</v>
      </c>
      <c r="I4" s="16">
        <f>A4.1.1!I4-A4.2.2!I4-A4.2.3!I4-A4.2.4!I4</f>
        <v>-2</v>
      </c>
      <c r="J4" s="15">
        <f>A4.1.1!J4-A4.2.2!J4-A4.2.3!J4-A4.2.4!J4</f>
        <v>109</v>
      </c>
      <c r="K4" s="16">
        <f>A4.1.1!K4-A4.2.2!K4-A4.2.3!K4-A4.2.4!K4</f>
        <v>5</v>
      </c>
      <c r="L4" s="16">
        <f>A4.1.1!L4-A4.2.2!L4-A4.2.3!L4-A4.2.4!L4</f>
        <v>-1</v>
      </c>
      <c r="M4" s="15">
        <f>A4.1.1!M4-A4.2.2!M4-A4.2.3!M4-A4.2.4!M4</f>
        <v>98</v>
      </c>
      <c r="N4" s="16">
        <f>A4.1.1!N4-A4.2.2!N4-A4.2.3!N4-A4.2.4!N4</f>
        <v>4</v>
      </c>
      <c r="O4" s="17">
        <f>A4.1.1!O4-A4.2.2!O4-A4.2.3!O4-A4.2.4!O4</f>
        <v>-2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f>A4.1.1!D5-A4.2.2!D5-A4.2.3!D5-A4.2.4!D5</f>
        <v>20697</v>
      </c>
      <c r="E5" s="16">
        <f>A4.1.1!E5-A4.2.2!E5-A4.2.3!E5-A4.2.4!E5</f>
        <v>332</v>
      </c>
      <c r="F5" s="16">
        <f>A4.1.1!F5-A4.2.2!F5-A4.2.3!F5-A4.2.4!F5</f>
        <v>-192</v>
      </c>
      <c r="G5" s="15">
        <f>A4.1.1!G5-A4.2.2!G5-A4.2.3!G5-A4.2.4!G5</f>
        <v>20065</v>
      </c>
      <c r="H5" s="16">
        <f>A4.1.1!H5-A4.2.2!H5-A4.2.3!H5-A4.2.4!H5</f>
        <v>346</v>
      </c>
      <c r="I5" s="16">
        <f>A4.1.1!I5-A4.2.2!I5-A4.2.3!I5-A4.2.4!I5</f>
        <v>-189</v>
      </c>
      <c r="J5" s="15">
        <f>A4.1.1!J5-A4.2.2!J5-A4.2.3!J5-A4.2.4!J5</f>
        <v>18332</v>
      </c>
      <c r="K5" s="16">
        <f>A4.1.1!K5-A4.2.2!K5-A4.2.3!K5-A4.2.4!K5</f>
        <v>336</v>
      </c>
      <c r="L5" s="16">
        <f>A4.1.1!L5-A4.2.2!L5-A4.2.3!L5-A4.2.4!L5</f>
        <v>-178</v>
      </c>
      <c r="M5" s="15">
        <f>A4.1.1!M5-A4.2.2!M5-A4.2.3!M5-A4.2.4!M5</f>
        <v>17397</v>
      </c>
      <c r="N5" s="16">
        <f>A4.1.1!N5-A4.2.2!N5-A4.2.3!N5-A4.2.4!N5</f>
        <v>320</v>
      </c>
      <c r="O5" s="17">
        <f>A4.1.1!O5-A4.2.2!O5-A4.2.3!O5-A4.2.4!O5</f>
        <v>-183</v>
      </c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f>A4.1.1!D6-A4.2.2!D6-A4.2.3!D6-A4.2.4!D6</f>
        <v>4</v>
      </c>
      <c r="E6" s="16">
        <f>A4.1.1!E6-A4.2.2!E6-A4.2.3!E6-A4.2.4!E6</f>
        <v>0</v>
      </c>
      <c r="F6" s="16">
        <f>A4.1.1!F6-A4.2.2!F6-A4.2.3!F6-A4.2.4!F6</f>
        <v>-1</v>
      </c>
      <c r="G6" s="15">
        <f>A4.1.1!G6-A4.2.2!G6-A4.2.3!G6-A4.2.4!G6</f>
        <v>5</v>
      </c>
      <c r="H6" s="16">
        <f>A4.1.1!H6-A4.2.2!H6-A4.2.3!H6-A4.2.4!H6</f>
        <v>1</v>
      </c>
      <c r="I6" s="16">
        <f>A4.1.1!I6-A4.2.2!I6-A4.2.3!I6-A4.2.4!I6</f>
        <v>-1</v>
      </c>
      <c r="J6" s="15">
        <f>A4.1.1!J6-A4.2.2!J6-A4.2.3!J6-A4.2.4!J6</f>
        <v>3</v>
      </c>
      <c r="K6" s="16">
        <f>A4.1.1!K6-A4.2.2!K6-A4.2.3!K6-A4.2.4!K6</f>
        <v>2</v>
      </c>
      <c r="L6" s="16">
        <f>A4.1.1!L6-A4.2.2!L6-A4.2.3!L6-A4.2.4!L6</f>
        <v>-1</v>
      </c>
      <c r="M6" s="15">
        <f>A4.1.1!M6-A4.2.2!M6-A4.2.3!M6-A4.2.4!M6</f>
        <v>2</v>
      </c>
      <c r="N6" s="16">
        <f>A4.1.1!N6-A4.2.2!N6-A4.2.3!N6-A4.2.4!N6</f>
        <v>1</v>
      </c>
      <c r="O6" s="17">
        <f>A4.1.1!O6-A4.2.2!O6-A4.2.3!O6-A4.2.4!O6</f>
        <v>-1</v>
      </c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f>A4.1.1!D7-A4.2.2!D7-A4.2.3!D7-A4.2.4!D7</f>
        <v>64</v>
      </c>
      <c r="E7" s="16">
        <f>A4.1.1!E7-A4.2.2!E7-A4.2.3!E7-A4.2.4!E7</f>
        <v>11</v>
      </c>
      <c r="F7" s="16">
        <f>A4.1.1!F7-A4.2.2!F7-A4.2.3!F7-A4.2.4!F7</f>
        <v>-5</v>
      </c>
      <c r="G7" s="15">
        <f>A4.1.1!G7-A4.2.2!G7-A4.2.3!G7-A4.2.4!G7</f>
        <v>57</v>
      </c>
      <c r="H7" s="16">
        <f>A4.1.1!H7-A4.2.2!H7-A4.2.3!H7-A4.2.4!H7</f>
        <v>7</v>
      </c>
      <c r="I7" s="16">
        <f>A4.1.1!I7-A4.2.2!I7-A4.2.3!I7-A4.2.4!I7</f>
        <v>-3</v>
      </c>
      <c r="J7" s="15">
        <f>A4.1.1!J7-A4.2.2!J7-A4.2.3!J7-A4.2.4!J7</f>
        <v>41</v>
      </c>
      <c r="K7" s="16">
        <f>A4.1.1!K7-A4.2.2!K7-A4.2.3!K7-A4.2.4!K7</f>
        <v>6</v>
      </c>
      <c r="L7" s="16">
        <f>A4.1.1!L7-A4.2.2!L7-A4.2.3!L7-A4.2.4!L7</f>
        <v>-1</v>
      </c>
      <c r="M7" s="15">
        <f>A4.1.1!M7-A4.2.2!M7-A4.2.3!M7-A4.2.4!M7</f>
        <v>33</v>
      </c>
      <c r="N7" s="16">
        <f>A4.1.1!N7-A4.2.2!N7-A4.2.3!N7-A4.2.4!N7</f>
        <v>6</v>
      </c>
      <c r="O7" s="17">
        <f>A4.1.1!O7-A4.2.2!O7-A4.2.3!O7-A4.2.4!O7</f>
        <v>-1</v>
      </c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f>A4.1.1!D8-A4.2.2!D8-A4.2.3!D8-A4.2.4!D8</f>
        <v>4</v>
      </c>
      <c r="E8" s="16">
        <f>A4.1.1!E8-A4.2.2!E8-A4.2.3!E8-A4.2.4!E8</f>
        <v>1</v>
      </c>
      <c r="F8" s="16">
        <f>A4.1.1!F8-A4.2.2!F8-A4.2.3!F8-A4.2.4!F8</f>
        <v>-1</v>
      </c>
      <c r="G8" s="15">
        <f>A4.1.1!G8-A4.2.2!G8-A4.2.3!G8-A4.2.4!G8</f>
        <v>4</v>
      </c>
      <c r="H8" s="16">
        <f>A4.1.1!H8-A4.2.2!H8-A4.2.3!H8-A4.2.4!H8</f>
        <v>2</v>
      </c>
      <c r="I8" s="16">
        <f>A4.1.1!I8-A4.2.2!I8-A4.2.3!I8-A4.2.4!I8</f>
        <v>-1</v>
      </c>
      <c r="J8" s="15">
        <f>A4.1.1!J8-A4.2.2!J8-A4.2.3!J8-A4.2.4!J8</f>
        <v>4</v>
      </c>
      <c r="K8" s="16">
        <f>A4.1.1!K8-A4.2.2!K8-A4.2.3!K8-A4.2.4!K8</f>
        <v>2</v>
      </c>
      <c r="L8" s="16">
        <f>A4.1.1!L8-A4.2.2!L8-A4.2.3!L8-A4.2.4!L8</f>
        <v>-1</v>
      </c>
      <c r="M8" s="15">
        <f>A4.1.1!M8-A4.2.2!M8-A4.2.3!M8-A4.2.4!M8</f>
        <v>6</v>
      </c>
      <c r="N8" s="16">
        <f>A4.1.1!N8-A4.2.2!N8-A4.2.3!N8-A4.2.4!N8</f>
        <v>1</v>
      </c>
      <c r="O8" s="17">
        <f>A4.1.1!O8-A4.2.2!O8-A4.2.3!O8-A4.2.4!O8</f>
        <v>-1</v>
      </c>
    </row>
    <row r="9" spans="1:35" ht="13.35" customHeight="1">
      <c r="A9" s="13"/>
      <c r="B9" s="14" t="s">
        <v>64</v>
      </c>
      <c r="C9" s="14"/>
      <c r="D9" s="15">
        <f>A4.1.1!D9-A4.2.2!D9-A4.2.3!D9-A4.2.4!D9</f>
        <v>4</v>
      </c>
      <c r="E9" s="16">
        <f>A4.1.1!E9-A4.2.2!E9-A4.2.3!E9-A4.2.4!E9</f>
        <v>0</v>
      </c>
      <c r="F9" s="16">
        <f>A4.1.1!F9-A4.2.2!F9-A4.2.3!F9-A4.2.4!F9</f>
        <v>-1</v>
      </c>
      <c r="G9" s="15">
        <f>A4.1.1!G9-A4.2.2!G9-A4.2.3!G9-A4.2.4!G9</f>
        <v>5</v>
      </c>
      <c r="H9" s="16">
        <f>A4.1.1!H9-A4.2.2!H9-A4.2.3!H9-A4.2.4!H9</f>
        <v>1</v>
      </c>
      <c r="I9" s="16">
        <f>A4.1.1!I9-A4.2.2!I9-A4.2.3!I9-A4.2.4!I9</f>
        <v>-1</v>
      </c>
      <c r="J9" s="15">
        <f>A4.1.1!J9-A4.2.2!J9-A4.2.3!J9-A4.2.4!J9</f>
        <v>4</v>
      </c>
      <c r="K9" s="16">
        <f>A4.1.1!K9-A4.2.2!K9-A4.2.3!K9-A4.2.4!K9</f>
        <v>1</v>
      </c>
      <c r="L9" s="16">
        <f>A4.1.1!L9-A4.2.2!L9-A4.2.3!L9-A4.2.4!L9</f>
        <v>-1</v>
      </c>
      <c r="M9" s="15">
        <f>A4.1.1!M9-A4.2.2!M9-A4.2.3!M9-A4.2.4!M9</f>
        <v>2</v>
      </c>
      <c r="N9" s="16">
        <f>A4.1.1!N9-A4.2.2!N9-A4.2.3!N9-A4.2.4!N9</f>
        <v>0</v>
      </c>
      <c r="O9" s="17">
        <f>A4.1.1!O9-A4.2.2!O9-A4.2.3!O9-A4.2.4!O9</f>
        <v>-1</v>
      </c>
    </row>
    <row r="10" spans="1:35" ht="13.35" customHeight="1">
      <c r="A10" s="13"/>
      <c r="B10" s="14" t="s">
        <v>84</v>
      </c>
      <c r="C10" s="14"/>
      <c r="D10" s="15">
        <f>A4.1.1!D10-A4.2.2!D10-A4.2.3!D10-A4.2.4!D10</f>
        <v>0</v>
      </c>
      <c r="E10" s="16">
        <f>A4.1.1!E10-A4.2.2!E10-A4.2.3!E10-A4.2.4!E10</f>
        <v>0</v>
      </c>
      <c r="F10" s="16">
        <f>A4.1.1!F10-A4.2.2!F10-A4.2.3!F10-A4.2.4!F10</f>
        <v>-1</v>
      </c>
      <c r="G10" s="15">
        <f>A4.1.1!G10-A4.2.2!G10-A4.2.3!G10-A4.2.4!G10</f>
        <v>2</v>
      </c>
      <c r="H10" s="16">
        <f>A4.1.1!H10-A4.2.2!H10-A4.2.3!H10-A4.2.4!H10</f>
        <v>1</v>
      </c>
      <c r="I10" s="16">
        <f>A4.1.1!I10-A4.2.2!I10-A4.2.3!I10-A4.2.4!I10</f>
        <v>0</v>
      </c>
      <c r="J10" s="15">
        <f>A4.1.1!J10-A4.2.2!J10-A4.2.3!J10-A4.2.4!J10</f>
        <v>2</v>
      </c>
      <c r="K10" s="16">
        <f>A4.1.1!K10-A4.2.2!K10-A4.2.3!K10-A4.2.4!K10</f>
        <v>1</v>
      </c>
      <c r="L10" s="16">
        <f>A4.1.1!L10-A4.2.2!L10-A4.2.3!L10-A4.2.4!L10</f>
        <v>-2</v>
      </c>
      <c r="M10" s="15">
        <f>A4.1.1!M10-A4.2.2!M10-A4.2.3!M10-A4.2.4!M10</f>
        <v>2</v>
      </c>
      <c r="N10" s="16">
        <f>A4.1.1!N10-A4.2.2!N10-A4.2.3!N10-A4.2.4!N10</f>
        <v>1</v>
      </c>
      <c r="O10" s="17">
        <f>A4.1.1!O10-A4.2.2!O10-A4.2.3!O10-A4.2.4!O10</f>
        <v>-1</v>
      </c>
    </row>
    <row r="11" spans="1:35" s="29" customFormat="1" ht="13.35" customHeight="1">
      <c r="A11" s="27"/>
      <c r="B11" s="28" t="s">
        <v>1</v>
      </c>
      <c r="C11" s="28"/>
      <c r="D11" s="15">
        <f>A4.1.1!D11-A4.2.2!D11-A4.2.3!D11-A4.2.4!D11</f>
        <v>52</v>
      </c>
      <c r="E11" s="16">
        <f>A4.1.1!E11-A4.2.2!E11-A4.2.3!E11-A4.2.4!E11</f>
        <v>3</v>
      </c>
      <c r="F11" s="16">
        <f>A4.1.1!F11-A4.2.2!F11-A4.2.3!F11-A4.2.4!F11</f>
        <v>-2</v>
      </c>
      <c r="G11" s="15">
        <f>A4.1.1!G11-A4.2.2!G11-A4.2.3!G11-A4.2.4!G11</f>
        <v>58</v>
      </c>
      <c r="H11" s="16">
        <f>A4.1.1!H11-A4.2.2!H11-A4.2.3!H11-A4.2.4!H11</f>
        <v>3</v>
      </c>
      <c r="I11" s="16">
        <f>A4.1.1!I11-A4.2.2!I11-A4.2.3!I11-A4.2.4!I11</f>
        <v>0</v>
      </c>
      <c r="J11" s="15">
        <f>A4.1.1!J11-A4.2.2!J11-A4.2.3!J11-A4.2.4!J11</f>
        <v>51</v>
      </c>
      <c r="K11" s="16">
        <f>A4.1.1!K11-A4.2.2!K11-A4.2.3!K11-A4.2.4!K11</f>
        <v>2</v>
      </c>
      <c r="L11" s="16">
        <f>A4.1.1!L11-A4.2.2!L11-A4.2.3!L11-A4.2.4!L11</f>
        <v>-1</v>
      </c>
      <c r="M11" s="15">
        <f>A4.1.1!M11-A4.2.2!M11-A4.2.3!M11-A4.2.4!M11</f>
        <v>41</v>
      </c>
      <c r="N11" s="16">
        <f>A4.1.1!N11-A4.2.2!N11-A4.2.3!N11-A4.2.4!N11</f>
        <v>2</v>
      </c>
      <c r="O11" s="17">
        <f>A4.1.1!O11-A4.2.2!O11-A4.2.3!O11-A4.2.4!O11</f>
        <v>-2</v>
      </c>
    </row>
    <row r="12" spans="1:35" s="29" customFormat="1" ht="13.35" customHeight="1">
      <c r="A12" s="27"/>
      <c r="B12" s="28" t="s">
        <v>65</v>
      </c>
      <c r="C12" s="28"/>
      <c r="D12" s="15">
        <f>A4.1.1!D12-A4.2.2!D12-A4.2.3!D12-A4.2.4!D12</f>
        <v>10</v>
      </c>
      <c r="E12" s="16">
        <f>A4.1.1!E12-A4.2.2!E12-A4.2.3!E12-A4.2.4!E12</f>
        <v>2</v>
      </c>
      <c r="F12" s="16">
        <f>A4.1.1!F12-A4.2.2!F12-A4.2.3!F12-A4.2.4!F12</f>
        <v>-2</v>
      </c>
      <c r="G12" s="15">
        <f>A4.1.1!G12-A4.2.2!G12-A4.2.3!G12-A4.2.4!G12</f>
        <v>12</v>
      </c>
      <c r="H12" s="16">
        <f>A4.1.1!H12-A4.2.2!H12-A4.2.3!H12-A4.2.4!H12</f>
        <v>1</v>
      </c>
      <c r="I12" s="16">
        <f>A4.1.1!I12-A4.2.2!I12-A4.2.3!I12-A4.2.4!I12</f>
        <v>-1</v>
      </c>
      <c r="J12" s="15">
        <f>A4.1.1!J12-A4.2.2!J12-A4.2.3!J12-A4.2.4!J12</f>
        <v>10</v>
      </c>
      <c r="K12" s="16">
        <f>A4.1.1!K12-A4.2.2!K12-A4.2.3!K12-A4.2.4!K12</f>
        <v>1</v>
      </c>
      <c r="L12" s="16">
        <f>A4.1.1!L12-A4.2.2!L12-A4.2.3!L12-A4.2.4!L12</f>
        <v>-1</v>
      </c>
      <c r="M12" s="15">
        <f>A4.1.1!M12-A4.2.2!M12-A4.2.3!M12-A4.2.4!M12</f>
        <v>10</v>
      </c>
      <c r="N12" s="16">
        <f>A4.1.1!N12-A4.2.2!N12-A4.2.3!N12-A4.2.4!N12</f>
        <v>0</v>
      </c>
      <c r="O12" s="17">
        <f>A4.1.1!O12-A4.2.2!O12-A4.2.3!O12-A4.2.4!O12</f>
        <v>0</v>
      </c>
    </row>
    <row r="13" spans="1:35" s="29" customFormat="1" ht="13.35" customHeight="1">
      <c r="A13" s="27"/>
      <c r="B13" s="30" t="s">
        <v>85</v>
      </c>
      <c r="C13" s="30"/>
      <c r="D13" s="15">
        <f>A4.1.1!D13-A4.2.2!D13-A4.2.3!D13-A4.2.4!D13</f>
        <v>1</v>
      </c>
      <c r="E13" s="16">
        <f>A4.1.1!E13-A4.2.2!E13-A4.2.3!E13-A4.2.4!E13</f>
        <v>1</v>
      </c>
      <c r="F13" s="16">
        <f>A4.1.1!F13-A4.2.2!F13-A4.2.3!F13-A4.2.4!F13</f>
        <v>-2</v>
      </c>
      <c r="G13" s="15">
        <f>A4.1.1!G13-A4.2.2!G13-A4.2.3!G13-A4.2.4!G13</f>
        <v>1</v>
      </c>
      <c r="H13" s="16">
        <f>A4.1.1!H13-A4.2.2!H13-A4.2.3!H13-A4.2.4!H13</f>
        <v>1</v>
      </c>
      <c r="I13" s="16">
        <f>A4.1.1!I13-A4.2.2!I13-A4.2.3!I13-A4.2.4!I13</f>
        <v>-1</v>
      </c>
      <c r="J13" s="15">
        <f>A4.1.1!J13-A4.2.2!J13-A4.2.3!J13-A4.2.4!J13</f>
        <v>1</v>
      </c>
      <c r="K13" s="16">
        <f>A4.1.1!K13-A4.2.2!K13-A4.2.3!K13-A4.2.4!K13</f>
        <v>2</v>
      </c>
      <c r="L13" s="16">
        <f>A4.1.1!L13-A4.2.2!L13-A4.2.3!L13-A4.2.4!L13</f>
        <v>-1</v>
      </c>
      <c r="M13" s="15">
        <f>A4.1.1!M13-A4.2.2!M13-A4.2.3!M13-A4.2.4!M13</f>
        <v>2</v>
      </c>
      <c r="N13" s="16">
        <f>A4.1.1!N13-A4.2.2!N13-A4.2.3!N13-A4.2.4!N13</f>
        <v>0</v>
      </c>
      <c r="O13" s="17">
        <f>A4.1.1!O13-A4.2.2!O13-A4.2.3!O13-A4.2.4!O13</f>
        <v>-1</v>
      </c>
    </row>
    <row r="14" spans="1:35" s="29" customFormat="1" ht="13.35" customHeight="1">
      <c r="A14" s="27"/>
      <c r="B14" s="30" t="s">
        <v>86</v>
      </c>
      <c r="C14" s="30"/>
      <c r="D14" s="15">
        <f>A4.1.1!D14-A4.2.2!D14-A4.2.3!D14-A4.2.4!D14</f>
        <v>1477</v>
      </c>
      <c r="E14" s="16">
        <f>A4.1.1!E14-A4.2.2!E14-A4.2.3!E14-A4.2.4!E14</f>
        <v>41</v>
      </c>
      <c r="F14" s="16">
        <f>A4.1.1!F14-A4.2.2!F14-A4.2.3!F14-A4.2.4!F14</f>
        <v>-1</v>
      </c>
      <c r="G14" s="15">
        <f>A4.1.1!G14-A4.2.2!G14-A4.2.3!G14-A4.2.4!G14</f>
        <v>1544</v>
      </c>
      <c r="H14" s="16">
        <f>A4.1.1!H14-A4.2.2!H14-A4.2.3!H14-A4.2.4!H14</f>
        <v>34</v>
      </c>
      <c r="I14" s="16">
        <f>A4.1.1!I14-A4.2.2!I14-A4.2.3!I14-A4.2.4!I14</f>
        <v>-6</v>
      </c>
      <c r="J14" s="15">
        <f>A4.1.1!J14-A4.2.2!J14-A4.2.3!J14-A4.2.4!J14</f>
        <v>1468</v>
      </c>
      <c r="K14" s="16">
        <f>A4.1.1!K14-A4.2.2!K14-A4.2.3!K14-A4.2.4!K14</f>
        <v>27</v>
      </c>
      <c r="L14" s="16">
        <f>A4.1.1!L14-A4.2.2!L14-A4.2.3!L14-A4.2.4!L14</f>
        <v>-1</v>
      </c>
      <c r="M14" s="15">
        <f>A4.1.1!M14-A4.2.2!M14-A4.2.3!M14-A4.2.4!M14</f>
        <v>1398</v>
      </c>
      <c r="N14" s="16">
        <f>A4.1.1!N14-A4.2.2!N14-A4.2.3!N14-A4.2.4!N14</f>
        <v>40</v>
      </c>
      <c r="O14" s="17">
        <f>A4.1.1!O14-A4.2.2!O14-A4.2.3!O14-A4.2.4!O14</f>
        <v>-6</v>
      </c>
    </row>
    <row r="15" spans="1:35" s="29" customFormat="1" ht="13.35" customHeight="1">
      <c r="A15" s="27"/>
      <c r="B15" s="30" t="s">
        <v>66</v>
      </c>
      <c r="C15" s="30"/>
      <c r="D15" s="15">
        <f>A4.1.1!D15-A4.2.2!D15-A4.2.3!D15-A4.2.4!D15</f>
        <v>6</v>
      </c>
      <c r="E15" s="16">
        <f>A4.1.1!E15-A4.2.2!E15-A4.2.3!E15-A4.2.4!E15</f>
        <v>6</v>
      </c>
      <c r="F15" s="16">
        <f>A4.1.1!F15-A4.2.2!F15-A4.2.3!F15-A4.2.4!F15</f>
        <v>-1</v>
      </c>
      <c r="G15" s="15">
        <f>A4.1.1!G15-A4.2.2!G15-A4.2.3!G15-A4.2.4!G15</f>
        <v>7</v>
      </c>
      <c r="H15" s="16">
        <f>A4.1.1!H15-A4.2.2!H15-A4.2.3!H15-A4.2.4!H15</f>
        <v>2</v>
      </c>
      <c r="I15" s="16">
        <f>A4.1.1!I15-A4.2.2!I15-A4.2.3!I15-A4.2.4!I15</f>
        <v>-1</v>
      </c>
      <c r="J15" s="15">
        <f>A4.1.1!J15-A4.2.2!J15-A4.2.3!J15-A4.2.4!J15</f>
        <v>7</v>
      </c>
      <c r="K15" s="16">
        <f>A4.1.1!K15-A4.2.2!K15-A4.2.3!K15-A4.2.4!K15</f>
        <v>2</v>
      </c>
      <c r="L15" s="16">
        <f>A4.1.1!L15-A4.2.2!L15-A4.2.3!L15-A4.2.4!L15</f>
        <v>-2</v>
      </c>
      <c r="M15" s="15">
        <f>A4.1.1!M15-A4.2.2!M15-A4.2.3!M15-A4.2.4!M15</f>
        <v>6</v>
      </c>
      <c r="N15" s="16">
        <f>A4.1.1!N15-A4.2.2!N15-A4.2.3!N15-A4.2.4!N15</f>
        <v>2</v>
      </c>
      <c r="O15" s="17">
        <f>A4.1.1!O15-A4.2.2!O15-A4.2.3!O15-A4.2.4!O15</f>
        <v>0</v>
      </c>
    </row>
    <row r="16" spans="1:35" s="29" customFormat="1" ht="13.35" customHeight="1">
      <c r="A16" s="27"/>
      <c r="B16" s="30" t="s">
        <v>87</v>
      </c>
      <c r="C16" s="32"/>
      <c r="D16" s="15">
        <f>A4.1.1!D16-A4.2.2!D16-A4.2.3!D16-A4.2.4!D16</f>
        <v>1</v>
      </c>
      <c r="E16" s="16">
        <f>A4.1.1!E16-A4.2.2!E16-A4.2.3!E16-A4.2.4!E16</f>
        <v>0</v>
      </c>
      <c r="F16" s="16">
        <f>A4.1.1!F16-A4.2.2!F16-A4.2.3!F16-A4.2.4!F16</f>
        <v>-1</v>
      </c>
      <c r="G16" s="15">
        <f>A4.1.1!G16-A4.2.2!G16-A4.2.3!G16-A4.2.4!G16</f>
        <v>1</v>
      </c>
      <c r="H16" s="16">
        <f>A4.1.1!H16-A4.2.2!H16-A4.2.3!H16-A4.2.4!H16</f>
        <v>1</v>
      </c>
      <c r="I16" s="16">
        <f>A4.1.1!I16-A4.2.2!I16-A4.2.3!I16-A4.2.4!I16</f>
        <v>-1</v>
      </c>
      <c r="J16" s="15">
        <f>A4.1.1!J16-A4.2.2!J16-A4.2.3!J16-A4.2.4!J16</f>
        <v>1</v>
      </c>
      <c r="K16" s="16">
        <f>A4.1.1!K16-A4.2.2!K16-A4.2.3!K16-A4.2.4!K16</f>
        <v>1</v>
      </c>
      <c r="L16" s="16">
        <f>A4.1.1!L16-A4.2.2!L16-A4.2.3!L16-A4.2.4!L16</f>
        <v>-1</v>
      </c>
      <c r="M16" s="15">
        <f>A4.1.1!M16-A4.2.2!M16-A4.2.3!M16-A4.2.4!M16</f>
        <v>1</v>
      </c>
      <c r="N16" s="16">
        <f>A4.1.1!N16-A4.2.2!N16-A4.2.3!N16-A4.2.4!N16</f>
        <v>1</v>
      </c>
      <c r="O16" s="17">
        <f>A4.1.1!O16-A4.2.2!O16-A4.2.3!O16-A4.2.4!O16</f>
        <v>0</v>
      </c>
    </row>
    <row r="17" spans="1:15" s="29" customFormat="1" ht="13.35" customHeight="1">
      <c r="A17" s="27"/>
      <c r="B17" s="30" t="s">
        <v>67</v>
      </c>
      <c r="C17" s="30"/>
      <c r="D17" s="15">
        <f>A4.1.1!D17-A4.2.2!D17-A4.2.3!D17-A4.2.4!D17</f>
        <v>17</v>
      </c>
      <c r="E17" s="16">
        <f>A4.1.1!E17-A4.2.2!E17-A4.2.3!E17-A4.2.4!E17</f>
        <v>1</v>
      </c>
      <c r="F17" s="16">
        <f>A4.1.1!F17-A4.2.2!F17-A4.2.3!F17-A4.2.4!F17</f>
        <v>0</v>
      </c>
      <c r="G17" s="15">
        <f>A4.1.1!G17-A4.2.2!G17-A4.2.3!G17-A4.2.4!G17</f>
        <v>15</v>
      </c>
      <c r="H17" s="16">
        <f>A4.1.1!H17-A4.2.2!H17-A4.2.3!H17-A4.2.4!H17</f>
        <v>1</v>
      </c>
      <c r="I17" s="16">
        <f>A4.1.1!I17-A4.2.2!I17-A4.2.3!I17-A4.2.4!I17</f>
        <v>-1</v>
      </c>
      <c r="J17" s="15">
        <f>A4.1.1!J17-A4.2.2!J17-A4.2.3!J17-A4.2.4!J17</f>
        <v>14</v>
      </c>
      <c r="K17" s="16">
        <f>A4.1.1!K17-A4.2.2!K17-A4.2.3!K17-A4.2.4!K17</f>
        <v>2</v>
      </c>
      <c r="L17" s="16">
        <f>A4.1.1!L17-A4.2.2!L17-A4.2.3!L17-A4.2.4!L17</f>
        <v>-1</v>
      </c>
      <c r="M17" s="15">
        <f>A4.1.1!M17-A4.2.2!M17-A4.2.3!M17-A4.2.4!M17</f>
        <v>15</v>
      </c>
      <c r="N17" s="16">
        <f>A4.1.1!N17-A4.2.2!N17-A4.2.3!N17-A4.2.4!N17</f>
        <v>1</v>
      </c>
      <c r="O17" s="17">
        <f>A4.1.1!O17-A4.2.2!O17-A4.2.3!O17-A4.2.4!O17</f>
        <v>-1</v>
      </c>
    </row>
    <row r="18" spans="1:15" s="29" customFormat="1" ht="13.35" customHeight="1">
      <c r="A18" s="27"/>
      <c r="B18" s="30" t="s">
        <v>88</v>
      </c>
      <c r="C18" s="30"/>
      <c r="D18" s="15">
        <f>A4.1.1!D18-A4.2.2!D18-A4.2.3!D18-A4.2.4!D18</f>
        <v>47</v>
      </c>
      <c r="E18" s="16">
        <f>A4.1.1!E18-A4.2.2!E18-A4.2.3!E18-A4.2.4!E18</f>
        <v>2</v>
      </c>
      <c r="F18" s="16">
        <f>A4.1.1!F18-A4.2.2!F18-A4.2.3!F18-A4.2.4!F18</f>
        <v>-1</v>
      </c>
      <c r="G18" s="15">
        <f>A4.1.1!G18-A4.2.2!G18-A4.2.3!G18-A4.2.4!G18</f>
        <v>50</v>
      </c>
      <c r="H18" s="16">
        <f>A4.1.1!H18-A4.2.2!H18-A4.2.3!H18-A4.2.4!H18</f>
        <v>4</v>
      </c>
      <c r="I18" s="16">
        <f>A4.1.1!I18-A4.2.2!I18-A4.2.3!I18-A4.2.4!I18</f>
        <v>-2</v>
      </c>
      <c r="J18" s="15">
        <f>A4.1.1!J18-A4.2.2!J18-A4.2.3!J18-A4.2.4!J18</f>
        <v>40</v>
      </c>
      <c r="K18" s="16">
        <f>A4.1.1!K18-A4.2.2!K18-A4.2.3!K18-A4.2.4!K18</f>
        <v>2</v>
      </c>
      <c r="L18" s="16">
        <f>A4.1.1!L18-A4.2.2!L18-A4.2.3!L18-A4.2.4!L18</f>
        <v>-1</v>
      </c>
      <c r="M18" s="15">
        <f>A4.1.1!M18-A4.2.2!M18-A4.2.3!M18-A4.2.4!M18</f>
        <v>28</v>
      </c>
      <c r="N18" s="16">
        <f>A4.1.1!N18-A4.2.2!N18-A4.2.3!N18-A4.2.4!N18</f>
        <v>2</v>
      </c>
      <c r="O18" s="17">
        <f>A4.1.1!O18-A4.2.2!O18-A4.2.3!O18-A4.2.4!O18</f>
        <v>-2</v>
      </c>
    </row>
    <row r="19" spans="1:15" s="29" customFormat="1" ht="13.35" customHeight="1">
      <c r="A19" s="27"/>
      <c r="B19" s="30" t="s">
        <v>139</v>
      </c>
      <c r="C19" s="30"/>
      <c r="D19" s="15">
        <f>A4.1.1!D19-A4.2.2!D19-A4.2.3!D19-A4.2.4!D19</f>
        <v>9</v>
      </c>
      <c r="E19" s="16">
        <f>A4.1.1!E19-A4.2.2!E19-A4.2.3!E19-A4.2.4!E19</f>
        <v>2</v>
      </c>
      <c r="F19" s="16">
        <f>A4.1.1!F19-A4.2.2!F19-A4.2.3!F19-A4.2.4!F19</f>
        <v>-2</v>
      </c>
      <c r="G19" s="15">
        <f>A4.1.1!G19-A4.2.2!G19-A4.2.3!G19-A4.2.4!G19</f>
        <v>10</v>
      </c>
      <c r="H19" s="16">
        <f>A4.1.1!H19-A4.2.2!H19-A4.2.3!H19-A4.2.4!H19</f>
        <v>1</v>
      </c>
      <c r="I19" s="16">
        <f>A4.1.1!I19-A4.2.2!I19-A4.2.3!I19-A4.2.4!I19</f>
        <v>-2</v>
      </c>
      <c r="J19" s="15">
        <f>A4.1.1!J19-A4.2.2!J19-A4.2.3!J19-A4.2.4!J19</f>
        <v>10</v>
      </c>
      <c r="K19" s="16">
        <f>A4.1.1!K19-A4.2.2!K19-A4.2.3!K19-A4.2.4!K19</f>
        <v>2</v>
      </c>
      <c r="L19" s="16">
        <f>A4.1.1!L19-A4.2.2!L19-A4.2.3!L19-A4.2.4!L19</f>
        <v>-4</v>
      </c>
      <c r="M19" s="15">
        <f>A4.1.1!M19-A4.2.2!M19-A4.2.3!M19-A4.2.4!M19</f>
        <v>7</v>
      </c>
      <c r="N19" s="16">
        <f>A4.1.1!N19-A4.2.2!N19-A4.2.3!N19-A4.2.4!N19</f>
        <v>2</v>
      </c>
      <c r="O19" s="17">
        <f>A4.1.1!O19-A4.2.2!O19-A4.2.3!O19-A4.2.4!O19</f>
        <v>-2</v>
      </c>
    </row>
    <row r="20" spans="1:15" s="29" customFormat="1" ht="13.35" customHeight="1">
      <c r="A20" s="27"/>
      <c r="B20" s="30" t="s">
        <v>68</v>
      </c>
      <c r="C20" s="30"/>
      <c r="D20" s="15">
        <f>A4.1.1!D20-A4.2.2!D20-A4.2.3!D20-A4.2.4!D20</f>
        <v>1</v>
      </c>
      <c r="E20" s="16">
        <f>A4.1.1!E20-A4.2.2!E20-A4.2.3!E20-A4.2.4!E20</f>
        <v>1</v>
      </c>
      <c r="F20" s="16">
        <f>A4.1.1!F20-A4.2.2!F20-A4.2.3!F20-A4.2.4!F20</f>
        <v>-2</v>
      </c>
      <c r="G20" s="15">
        <f>A4.1.1!G20-A4.2.2!G20-A4.2.3!G20-A4.2.4!G20</f>
        <v>2</v>
      </c>
      <c r="H20" s="16">
        <f>A4.1.1!H20-A4.2.2!H20-A4.2.3!H20-A4.2.4!H20</f>
        <v>1</v>
      </c>
      <c r="I20" s="16">
        <f>A4.1.1!I20-A4.2.2!I20-A4.2.3!I20-A4.2.4!I20</f>
        <v>-1</v>
      </c>
      <c r="J20" s="15">
        <f>A4.1.1!J20-A4.2.2!J20-A4.2.3!J20-A4.2.4!J20</f>
        <v>2</v>
      </c>
      <c r="K20" s="16">
        <f>A4.1.1!K20-A4.2.2!K20-A4.2.3!K20-A4.2.4!K20</f>
        <v>1</v>
      </c>
      <c r="L20" s="16">
        <f>A4.1.1!L20-A4.2.2!L20-A4.2.3!L20-A4.2.4!L20</f>
        <v>-1</v>
      </c>
      <c r="M20" s="15">
        <f>A4.1.1!M20-A4.2.2!M20-A4.2.3!M20-A4.2.4!M20</f>
        <v>2</v>
      </c>
      <c r="N20" s="16">
        <f>A4.1.1!N20-A4.2.2!N20-A4.2.3!N20-A4.2.4!N20</f>
        <v>2</v>
      </c>
      <c r="O20" s="17">
        <f>A4.1.1!O20-A4.2.2!O20-A4.2.3!O20-A4.2.4!O20</f>
        <v>-3</v>
      </c>
    </row>
    <row r="21" spans="1:15" s="29" customFormat="1" ht="13.35" customHeight="1">
      <c r="A21" s="27"/>
      <c r="B21" s="30" t="s">
        <v>69</v>
      </c>
      <c r="C21" s="30"/>
      <c r="D21" s="15">
        <f>A4.1.1!D21-A4.2.2!D21-A4.2.3!D21-A4.2.4!D21</f>
        <v>12</v>
      </c>
      <c r="E21" s="16">
        <f>A4.1.1!E21-A4.2.2!E21-A4.2.3!E21-A4.2.4!E21</f>
        <v>1</v>
      </c>
      <c r="F21" s="16">
        <f>A4.1.1!F21-A4.2.2!F21-A4.2.3!F21-A4.2.4!F21</f>
        <v>-1</v>
      </c>
      <c r="G21" s="15">
        <f>A4.1.1!G21-A4.2.2!G21-A4.2.3!G21-A4.2.4!G21</f>
        <v>11</v>
      </c>
      <c r="H21" s="16">
        <f>A4.1.1!H21-A4.2.2!H21-A4.2.3!H21-A4.2.4!H21</f>
        <v>1</v>
      </c>
      <c r="I21" s="16">
        <f>A4.1.1!I21-A4.2.2!I21-A4.2.3!I21-A4.2.4!I21</f>
        <v>-2</v>
      </c>
      <c r="J21" s="15">
        <f>A4.1.1!J21-A4.2.2!J21-A4.2.3!J21-A4.2.4!J21</f>
        <v>9</v>
      </c>
      <c r="K21" s="16">
        <f>A4.1.1!K21-A4.2.2!K21-A4.2.3!K21-A4.2.4!K21</f>
        <v>0</v>
      </c>
      <c r="L21" s="16">
        <f>A4.1.1!L21-A4.2.2!L21-A4.2.3!L21-A4.2.4!L21</f>
        <v>-1</v>
      </c>
      <c r="M21" s="15">
        <f>A4.1.1!M21-A4.2.2!M21-A4.2.3!M21-A4.2.4!M21</f>
        <v>5</v>
      </c>
      <c r="N21" s="16">
        <f>A4.1.1!N21-A4.2.2!N21-A4.2.3!N21-A4.2.4!N21</f>
        <v>1</v>
      </c>
      <c r="O21" s="17">
        <f>A4.1.1!O21-A4.2.2!O21-A4.2.3!O21-A4.2.4!O21</f>
        <v>-1</v>
      </c>
    </row>
    <row r="22" spans="1:15" s="29" customFormat="1" ht="13.35" customHeight="1">
      <c r="A22" s="27"/>
      <c r="B22" s="30" t="s">
        <v>70</v>
      </c>
      <c r="C22" s="30"/>
      <c r="D22" s="15">
        <f>A4.1.1!D22-A4.2.2!D22-A4.2.3!D22-A4.2.4!D22</f>
        <v>9</v>
      </c>
      <c r="E22" s="16">
        <f>A4.1.1!E22-A4.2.2!E22-A4.2.3!E22-A4.2.4!E22</f>
        <v>2</v>
      </c>
      <c r="F22" s="16">
        <f>A4.1.1!F22-A4.2.2!F22-A4.2.3!F22-A4.2.4!F22</f>
        <v>0</v>
      </c>
      <c r="G22" s="15">
        <f>A4.1.1!G22-A4.2.2!G22-A4.2.3!G22-A4.2.4!G22</f>
        <v>7</v>
      </c>
      <c r="H22" s="16">
        <f>A4.1.1!H22-A4.2.2!H22-A4.2.3!H22-A4.2.4!H22</f>
        <v>1</v>
      </c>
      <c r="I22" s="16">
        <f>A4.1.1!I22-A4.2.2!I22-A4.2.3!I22-A4.2.4!I22</f>
        <v>-1</v>
      </c>
      <c r="J22" s="15">
        <f>A4.1.1!J22-A4.2.2!J22-A4.2.3!J22-A4.2.4!J22</f>
        <v>8</v>
      </c>
      <c r="K22" s="16">
        <f>A4.1.1!K22-A4.2.2!K22-A4.2.3!K22-A4.2.4!K22</f>
        <v>1</v>
      </c>
      <c r="L22" s="16">
        <f>A4.1.1!L22-A4.2.2!L22-A4.2.3!L22-A4.2.4!L22</f>
        <v>-1</v>
      </c>
      <c r="M22" s="15">
        <f>A4.1.1!M22-A4.2.2!M22-A4.2.3!M22-A4.2.4!M22</f>
        <v>6</v>
      </c>
      <c r="N22" s="16">
        <f>A4.1.1!N22-A4.2.2!N22-A4.2.3!N22-A4.2.4!N22</f>
        <v>1</v>
      </c>
      <c r="O22" s="17">
        <f>A4.1.1!O22-A4.2.2!O22-A4.2.3!O22-A4.2.4!O22</f>
        <v>-2</v>
      </c>
    </row>
    <row r="23" spans="1:15" s="29" customFormat="1" ht="13.35" customHeight="1">
      <c r="A23" s="27"/>
      <c r="B23" s="30" t="s">
        <v>71</v>
      </c>
      <c r="C23" s="30"/>
      <c r="D23" s="15">
        <f>A4.1.1!D23-A4.2.2!D23-A4.2.3!D23-A4.2.4!D23</f>
        <v>17</v>
      </c>
      <c r="E23" s="16">
        <f>A4.1.1!E23-A4.2.2!E23-A4.2.3!E23-A4.2.4!E23</f>
        <v>2</v>
      </c>
      <c r="F23" s="16">
        <f>A4.1.1!F23-A4.2.2!F23-A4.2.3!F23-A4.2.4!F23</f>
        <v>0</v>
      </c>
      <c r="G23" s="15">
        <f>A4.1.1!G23-A4.2.2!G23-A4.2.3!G23-A4.2.4!G23</f>
        <v>16</v>
      </c>
      <c r="H23" s="16">
        <f>A4.1.1!H23-A4.2.2!H23-A4.2.3!H23-A4.2.4!H23</f>
        <v>2</v>
      </c>
      <c r="I23" s="16">
        <f>A4.1.1!I23-A4.2.2!I23-A4.2.3!I23-A4.2.4!I23</f>
        <v>-1</v>
      </c>
      <c r="J23" s="15">
        <f>A4.1.1!J23-A4.2.2!J23-A4.2.3!J23-A4.2.4!J23</f>
        <v>16</v>
      </c>
      <c r="K23" s="16">
        <f>A4.1.1!K23-A4.2.2!K23-A4.2.3!K23-A4.2.4!K23</f>
        <v>1</v>
      </c>
      <c r="L23" s="16">
        <f>A4.1.1!L23-A4.2.2!L23-A4.2.3!L23-A4.2.4!L23</f>
        <v>-1</v>
      </c>
      <c r="M23" s="15">
        <f>A4.1.1!M23-A4.2.2!M23-A4.2.3!M23-A4.2.4!M23</f>
        <v>12</v>
      </c>
      <c r="N23" s="16">
        <f>A4.1.1!N23-A4.2.2!N23-A4.2.3!N23-A4.2.4!N23</f>
        <v>1</v>
      </c>
      <c r="O23" s="17">
        <f>A4.1.1!O23-A4.2.2!O23-A4.2.3!O23-A4.2.4!O23</f>
        <v>-2</v>
      </c>
    </row>
    <row r="24" spans="1:15" s="33" customFormat="1" ht="13.35" customHeight="1">
      <c r="A24" s="31"/>
      <c r="B24" s="32" t="s">
        <v>103</v>
      </c>
      <c r="C24" s="32"/>
      <c r="D24" s="15">
        <f>A4.1.1!D24-A4.2.2!D24-A4.2.3!D24-A4.2.4!D24</f>
        <v>0</v>
      </c>
      <c r="E24" s="16">
        <f>A4.1.1!E24-A4.2.2!E24-A4.2.3!E24-A4.2.4!E24</f>
        <v>0</v>
      </c>
      <c r="F24" s="16">
        <f>A4.1.1!F24-A4.2.2!F24-A4.2.3!F24-A4.2.4!F24</f>
        <v>-1</v>
      </c>
      <c r="G24" s="15">
        <f>A4.1.1!G24-A4.2.2!G24-A4.2.3!G24-A4.2.4!G24</f>
        <v>0</v>
      </c>
      <c r="H24" s="16">
        <f>A4.1.1!H24-A4.2.2!H24-A4.2.3!H24-A4.2.4!H24</f>
        <v>1</v>
      </c>
      <c r="I24" s="16">
        <f>A4.1.1!I24-A4.2.2!I24-A4.2.3!I24-A4.2.4!I24</f>
        <v>0</v>
      </c>
      <c r="J24" s="15">
        <f>A4.1.1!J24-A4.2.2!J24-A4.2.3!J24-A4.2.4!J24</f>
        <v>0</v>
      </c>
      <c r="K24" s="16">
        <f>A4.1.1!K24-A4.2.2!K24-A4.2.3!K24-A4.2.4!K24</f>
        <v>1</v>
      </c>
      <c r="L24" s="16">
        <f>A4.1.1!L24-A4.2.2!L24-A4.2.3!L24-A4.2.4!L24</f>
        <v>0</v>
      </c>
      <c r="M24" s="15">
        <f>A4.1.1!M24-A4.2.2!M24-A4.2.3!M24-A4.2.4!M24</f>
        <v>0</v>
      </c>
      <c r="N24" s="16">
        <f>A4.1.1!N24-A4.2.2!N24-A4.2.3!N24-A4.2.4!N24</f>
        <v>0</v>
      </c>
      <c r="O24" s="17">
        <f>A4.1.1!O24-A4.2.2!O24-A4.2.3!O24-A4.2.4!O24</f>
        <v>0</v>
      </c>
    </row>
    <row r="25" spans="1:15" s="29" customFormat="1" ht="13.35" customHeight="1">
      <c r="A25" s="27"/>
      <c r="B25" s="30" t="s">
        <v>89</v>
      </c>
      <c r="C25" s="30"/>
      <c r="D25" s="15">
        <f>A4.1.1!D25-A4.2.2!D25-A4.2.3!D25-A4.2.4!D25</f>
        <v>15</v>
      </c>
      <c r="E25" s="16">
        <f>A4.1.1!E25-A4.2.2!E25-A4.2.3!E25-A4.2.4!E25</f>
        <v>1</v>
      </c>
      <c r="F25" s="16">
        <f>A4.1.1!F25-A4.2.2!F25-A4.2.3!F25-A4.2.4!F25</f>
        <v>0</v>
      </c>
      <c r="G25" s="15">
        <f>A4.1.1!G25-A4.2.2!G25-A4.2.3!G25-A4.2.4!G25</f>
        <v>14</v>
      </c>
      <c r="H25" s="16">
        <f>A4.1.1!H25-A4.2.2!H25-A4.2.3!H25-A4.2.4!H25</f>
        <v>1</v>
      </c>
      <c r="I25" s="16">
        <f>A4.1.1!I25-A4.2.2!I25-A4.2.3!I25-A4.2.4!I25</f>
        <v>-2</v>
      </c>
      <c r="J25" s="15">
        <f>A4.1.1!J25-A4.2.2!J25-A4.2.3!J25-A4.2.4!J25</f>
        <v>15</v>
      </c>
      <c r="K25" s="16">
        <f>A4.1.1!K25-A4.2.2!K25-A4.2.3!K25-A4.2.4!K25</f>
        <v>2</v>
      </c>
      <c r="L25" s="16">
        <f>A4.1.1!L25-A4.2.2!L25-A4.2.3!L25-A4.2.4!L25</f>
        <v>-2</v>
      </c>
      <c r="M25" s="15">
        <f>A4.1.1!M25-A4.2.2!M25-A4.2.3!M25-A4.2.4!M25</f>
        <v>10</v>
      </c>
      <c r="N25" s="16">
        <f>A4.1.1!N25-A4.2.2!N25-A4.2.3!N25-A4.2.4!N25</f>
        <v>2</v>
      </c>
      <c r="O25" s="17">
        <f>A4.1.1!O25-A4.2.2!O25-A4.2.3!O25-A4.2.4!O25</f>
        <v>-1</v>
      </c>
    </row>
    <row r="26" spans="1:15" s="29" customFormat="1" ht="13.35" customHeight="1">
      <c r="A26" s="27"/>
      <c r="B26" s="30" t="s">
        <v>72</v>
      </c>
      <c r="C26" s="30"/>
      <c r="D26" s="15">
        <f>A4.1.1!D26-A4.2.2!D26-A4.2.3!D26-A4.2.4!D26</f>
        <v>6</v>
      </c>
      <c r="E26" s="16">
        <f>A4.1.1!E26-A4.2.2!E26-A4.2.3!E26-A4.2.4!E26</f>
        <v>1</v>
      </c>
      <c r="F26" s="16">
        <f>A4.1.1!F26-A4.2.2!F26-A4.2.3!F26-A4.2.4!F26</f>
        <v>-1</v>
      </c>
      <c r="G26" s="15">
        <f>A4.1.1!G26-A4.2.2!G26-A4.2.3!G26-A4.2.4!G26</f>
        <v>7</v>
      </c>
      <c r="H26" s="16">
        <f>A4.1.1!H26-A4.2.2!H26-A4.2.3!H26-A4.2.4!H26</f>
        <v>2</v>
      </c>
      <c r="I26" s="16">
        <f>A4.1.1!I26-A4.2.2!I26-A4.2.3!I26-A4.2.4!I26</f>
        <v>0</v>
      </c>
      <c r="J26" s="15">
        <f>A4.1.1!J26-A4.2.2!J26-A4.2.3!J26-A4.2.4!J26</f>
        <v>6</v>
      </c>
      <c r="K26" s="16">
        <f>A4.1.1!K26-A4.2.2!K26-A4.2.3!K26-A4.2.4!K26</f>
        <v>2</v>
      </c>
      <c r="L26" s="16">
        <f>A4.1.1!L26-A4.2.2!L26-A4.2.3!L26-A4.2.4!L26</f>
        <v>-1</v>
      </c>
      <c r="M26" s="15">
        <f>A4.1.1!M26-A4.2.2!M26-A4.2.3!M26-A4.2.4!M26</f>
        <v>7</v>
      </c>
      <c r="N26" s="16">
        <f>A4.1.1!N26-A4.2.2!N26-A4.2.3!N26-A4.2.4!N26</f>
        <v>2</v>
      </c>
      <c r="O26" s="17">
        <f>A4.1.1!O26-A4.2.2!O26-A4.2.3!O26-A4.2.4!O26</f>
        <v>-1</v>
      </c>
    </row>
    <row r="27" spans="1:15" s="29" customFormat="1" ht="13.35" customHeight="1">
      <c r="A27" s="27"/>
      <c r="B27" s="30" t="s">
        <v>73</v>
      </c>
      <c r="C27" s="30"/>
      <c r="D27" s="15">
        <f>A4.1.1!D27-A4.2.2!D27-A4.2.3!D27-A4.2.4!D27</f>
        <v>98</v>
      </c>
      <c r="E27" s="16">
        <f>A4.1.1!E27-A4.2.2!E27-A4.2.3!E27-A4.2.4!E27</f>
        <v>2</v>
      </c>
      <c r="F27" s="16">
        <f>A4.1.1!F27-A4.2.2!F27-A4.2.3!F27-A4.2.4!F27</f>
        <v>-1</v>
      </c>
      <c r="G27" s="15">
        <f>A4.1.1!G27-A4.2.2!G27-A4.2.3!G27-A4.2.4!G27</f>
        <v>95</v>
      </c>
      <c r="H27" s="16">
        <f>A4.1.1!H27-A4.2.2!H27-A4.2.3!H27-A4.2.4!H27</f>
        <v>2</v>
      </c>
      <c r="I27" s="16">
        <f>A4.1.1!I27-A4.2.2!I27-A4.2.3!I27-A4.2.4!I27</f>
        <v>-2</v>
      </c>
      <c r="J27" s="15">
        <f>A4.1.1!J27-A4.2.2!J27-A4.2.3!J27-A4.2.4!J27</f>
        <v>86</v>
      </c>
      <c r="K27" s="16">
        <f>A4.1.1!K27-A4.2.2!K27-A4.2.3!K27-A4.2.4!K27</f>
        <v>3</v>
      </c>
      <c r="L27" s="16">
        <f>A4.1.1!L27-A4.2.2!L27-A4.2.3!L27-A4.2.4!L27</f>
        <v>-1</v>
      </c>
      <c r="M27" s="15">
        <f>A4.1.1!M27-A4.2.2!M27-A4.2.3!M27-A4.2.4!M27</f>
        <v>64</v>
      </c>
      <c r="N27" s="16">
        <f>A4.1.1!N27-A4.2.2!N27-A4.2.3!N27-A4.2.4!N27</f>
        <v>2</v>
      </c>
      <c r="O27" s="17">
        <f>A4.1.1!O27-A4.2.2!O27-A4.2.3!O27-A4.2.4!O27</f>
        <v>-2</v>
      </c>
    </row>
    <row r="28" spans="1:15" s="29" customFormat="1" ht="13.35" customHeight="1">
      <c r="A28" s="27"/>
      <c r="B28" s="30" t="s">
        <v>74</v>
      </c>
      <c r="C28" s="30"/>
      <c r="D28" s="15">
        <f>A4.1.1!D28-A4.2.2!D28-A4.2.3!D28-A4.2.4!D28</f>
        <v>1</v>
      </c>
      <c r="E28" s="16">
        <f>A4.1.1!E28-A4.2.2!E28-A4.2.3!E28-A4.2.4!E28</f>
        <v>1</v>
      </c>
      <c r="F28" s="16">
        <f>A4.1.1!F28-A4.2.2!F28-A4.2.3!F28-A4.2.4!F28</f>
        <v>-1</v>
      </c>
      <c r="G28" s="15">
        <f>A4.1.1!G28-A4.2.2!G28-A4.2.3!G28-A4.2.4!G28</f>
        <v>1</v>
      </c>
      <c r="H28" s="16">
        <f>A4.1.1!H28-A4.2.2!H28-A4.2.3!H28-A4.2.4!H28</f>
        <v>1</v>
      </c>
      <c r="I28" s="16">
        <f>A4.1.1!I28-A4.2.2!I28-A4.2.3!I28-A4.2.4!I28</f>
        <v>-1</v>
      </c>
      <c r="J28" s="15">
        <f>A4.1.1!J28-A4.2.2!J28-A4.2.3!J28-A4.2.4!J28</f>
        <v>1</v>
      </c>
      <c r="K28" s="16">
        <f>A4.1.1!K28-A4.2.2!K28-A4.2.3!K28-A4.2.4!K28</f>
        <v>2</v>
      </c>
      <c r="L28" s="16">
        <f>A4.1.1!L28-A4.2.2!L28-A4.2.3!L28-A4.2.4!L28</f>
        <v>-1</v>
      </c>
      <c r="M28" s="15">
        <f>A4.1.1!M28-A4.2.2!M28-A4.2.3!M28-A4.2.4!M28</f>
        <v>1</v>
      </c>
      <c r="N28" s="16">
        <f>A4.1.1!N28-A4.2.2!N28-A4.2.3!N28-A4.2.4!N28</f>
        <v>0</v>
      </c>
      <c r="O28" s="17">
        <f>A4.1.1!O28-A4.2.2!O28-A4.2.3!O28-A4.2.4!O28</f>
        <v>-1</v>
      </c>
    </row>
    <row r="29" spans="1:15" s="29" customFormat="1" ht="13.35" customHeight="1">
      <c r="A29" s="27"/>
      <c r="B29" s="30" t="s">
        <v>75</v>
      </c>
      <c r="C29" s="30"/>
      <c r="D29" s="15">
        <f>A4.1.1!D29-A4.2.2!D29-A4.2.3!D29-A4.2.4!D29</f>
        <v>9</v>
      </c>
      <c r="E29" s="16">
        <f>A4.1.1!E29-A4.2.2!E29-A4.2.3!E29-A4.2.4!E29</f>
        <v>2</v>
      </c>
      <c r="F29" s="16">
        <f>A4.1.1!F29-A4.2.2!F29-A4.2.3!F29-A4.2.4!F29</f>
        <v>-1</v>
      </c>
      <c r="G29" s="15">
        <f>A4.1.1!G29-A4.2.2!G29-A4.2.3!G29-A4.2.4!G29</f>
        <v>9</v>
      </c>
      <c r="H29" s="16">
        <f>A4.1.1!H29-A4.2.2!H29-A4.2.3!H29-A4.2.4!H29</f>
        <v>1</v>
      </c>
      <c r="I29" s="16">
        <f>A4.1.1!I29-A4.2.2!I29-A4.2.3!I29-A4.2.4!I29</f>
        <v>-2</v>
      </c>
      <c r="J29" s="15">
        <f>A4.1.1!J29-A4.2.2!J29-A4.2.3!J29-A4.2.4!J29</f>
        <v>9</v>
      </c>
      <c r="K29" s="16">
        <f>A4.1.1!K29-A4.2.2!K29-A4.2.3!K29-A4.2.4!K29</f>
        <v>1</v>
      </c>
      <c r="L29" s="16">
        <f>A4.1.1!L29-A4.2.2!L29-A4.2.3!L29-A4.2.4!L29</f>
        <v>-1</v>
      </c>
      <c r="M29" s="15">
        <f>A4.1.1!M29-A4.2.2!M29-A4.2.3!M29-A4.2.4!M29</f>
        <v>8</v>
      </c>
      <c r="N29" s="16">
        <f>A4.1.1!N29-A4.2.2!N29-A4.2.3!N29-A4.2.4!N29</f>
        <v>1</v>
      </c>
      <c r="O29" s="17">
        <f>A4.1.1!O29-A4.2.2!O29-A4.2.3!O29-A4.2.4!O29</f>
        <v>-1</v>
      </c>
    </row>
    <row r="30" spans="1:15" s="29" customFormat="1" ht="13.35" customHeight="1">
      <c r="A30" s="27"/>
      <c r="B30" s="30" t="s">
        <v>90</v>
      </c>
      <c r="C30" s="30"/>
      <c r="D30" s="15">
        <f>A4.1.1!D30-A4.2.2!D30-A4.2.3!D30-A4.2.4!D30</f>
        <v>23</v>
      </c>
      <c r="E30" s="16">
        <f>A4.1.1!E30-A4.2.2!E30-A4.2.3!E30-A4.2.4!E30</f>
        <v>3</v>
      </c>
      <c r="F30" s="16">
        <f>A4.1.1!F30-A4.2.2!F30-A4.2.3!F30-A4.2.4!F30</f>
        <v>0</v>
      </c>
      <c r="G30" s="15">
        <f>A4.1.1!G30-A4.2.2!G30-A4.2.3!G30-A4.2.4!G30</f>
        <v>25</v>
      </c>
      <c r="H30" s="16">
        <f>A4.1.1!H30-A4.2.2!H30-A4.2.3!H30-A4.2.4!H30</f>
        <v>2</v>
      </c>
      <c r="I30" s="16">
        <f>A4.1.1!I30-A4.2.2!I30-A4.2.3!I30-A4.2.4!I30</f>
        <v>-1</v>
      </c>
      <c r="J30" s="15">
        <f>A4.1.1!J30-A4.2.2!J30-A4.2.3!J30-A4.2.4!J30</f>
        <v>16</v>
      </c>
      <c r="K30" s="16">
        <f>A4.1.1!K30-A4.2.2!K30-A4.2.3!K30-A4.2.4!K30</f>
        <v>2</v>
      </c>
      <c r="L30" s="16">
        <f>A4.1.1!L30-A4.2.2!L30-A4.2.3!L30-A4.2.4!L30</f>
        <v>-1</v>
      </c>
      <c r="M30" s="15">
        <f>A4.1.1!M30-A4.2.2!M30-A4.2.3!M30-A4.2.4!M30</f>
        <v>14</v>
      </c>
      <c r="N30" s="16">
        <f>A4.1.1!N30-A4.2.2!N30-A4.2.3!N30-A4.2.4!N30</f>
        <v>1</v>
      </c>
      <c r="O30" s="17">
        <f>A4.1.1!O30-A4.2.2!O30-A4.2.3!O30-A4.2.4!O30</f>
        <v>-1</v>
      </c>
    </row>
    <row r="31" spans="1:15" s="29" customFormat="1" ht="13.35" customHeight="1">
      <c r="A31" s="27"/>
      <c r="B31" s="30" t="s">
        <v>2</v>
      </c>
      <c r="C31" s="32"/>
      <c r="D31" s="15">
        <f>A4.1.1!D31-A4.2.2!D31-A4.2.3!D31-A4.2.4!D31</f>
        <v>0</v>
      </c>
      <c r="E31" s="16">
        <f>A4.1.1!E31-A4.2.2!E31-A4.2.3!E31-A4.2.4!E31</f>
        <v>1</v>
      </c>
      <c r="F31" s="16">
        <f>A4.1.1!F31-A4.2.2!F31-A4.2.3!F31-A4.2.4!F31</f>
        <v>-1</v>
      </c>
      <c r="G31" s="15">
        <f>A4.1.1!G31-A4.2.2!G31-A4.2.3!G31-A4.2.4!G31</f>
        <v>0</v>
      </c>
      <c r="H31" s="16">
        <f>A4.1.1!H31-A4.2.2!H31-A4.2.3!H31-A4.2.4!H31</f>
        <v>1</v>
      </c>
      <c r="I31" s="16">
        <f>A4.1.1!I31-A4.2.2!I31-A4.2.3!I31-A4.2.4!I31</f>
        <v>0</v>
      </c>
      <c r="J31" s="15">
        <f>A4.1.1!J31-A4.2.2!J31-A4.2.3!J31-A4.2.4!J31</f>
        <v>0</v>
      </c>
      <c r="K31" s="16">
        <f>A4.1.1!K31-A4.2.2!K31-A4.2.3!K31-A4.2.4!K31</f>
        <v>1</v>
      </c>
      <c r="L31" s="16">
        <f>A4.1.1!L31-A4.2.2!L31-A4.2.3!L31-A4.2.4!L31</f>
        <v>-2</v>
      </c>
      <c r="M31" s="15">
        <f>A4.1.1!M31-A4.2.2!M31-A4.2.3!M31-A4.2.4!M31</f>
        <v>0</v>
      </c>
      <c r="N31" s="16">
        <f>A4.1.1!N31-A4.2.2!N31-A4.2.3!N31-A4.2.4!N31</f>
        <v>1</v>
      </c>
      <c r="O31" s="17">
        <f>A4.1.1!O31-A4.2.2!O31-A4.2.3!O31-A4.2.4!O31</f>
        <v>-1</v>
      </c>
    </row>
    <row r="32" spans="1:15" s="29" customFormat="1" ht="13.35" customHeight="1">
      <c r="A32" s="27"/>
      <c r="B32" s="30" t="s">
        <v>76</v>
      </c>
      <c r="C32" s="30"/>
      <c r="D32" s="15">
        <f>A4.1.1!D32-A4.2.2!D32-A4.2.3!D32-A4.2.4!D32</f>
        <v>5</v>
      </c>
      <c r="E32" s="16">
        <f>A4.1.1!E32-A4.2.2!E32-A4.2.3!E32-A4.2.4!E32</f>
        <v>1</v>
      </c>
      <c r="F32" s="16">
        <f>A4.1.1!F32-A4.2.2!F32-A4.2.3!F32-A4.2.4!F32</f>
        <v>-1</v>
      </c>
      <c r="G32" s="15">
        <f>A4.1.1!G32-A4.2.2!G32-A4.2.3!G32-A4.2.4!G32</f>
        <v>1</v>
      </c>
      <c r="H32" s="16">
        <f>A4.1.1!H32-A4.2.2!H32-A4.2.3!H32-A4.2.4!H32</f>
        <v>1</v>
      </c>
      <c r="I32" s="16">
        <f>A4.1.1!I32-A4.2.2!I32-A4.2.3!I32-A4.2.4!I32</f>
        <v>-1</v>
      </c>
      <c r="J32" s="15">
        <f>A4.1.1!J32-A4.2.2!J32-A4.2.3!J32-A4.2.4!J32</f>
        <v>3</v>
      </c>
      <c r="K32" s="16">
        <f>A4.1.1!K32-A4.2.2!K32-A4.2.3!K32-A4.2.4!K32</f>
        <v>1</v>
      </c>
      <c r="L32" s="16">
        <f>A4.1.1!L32-A4.2.2!L32-A4.2.3!L32-A4.2.4!L32</f>
        <v>0</v>
      </c>
      <c r="M32" s="15">
        <f>A4.1.1!M32-A4.2.2!M32-A4.2.3!M32-A4.2.4!M32</f>
        <v>4</v>
      </c>
      <c r="N32" s="16">
        <f>A4.1.1!N32-A4.2.2!N32-A4.2.3!N32-A4.2.4!N32</f>
        <v>0</v>
      </c>
      <c r="O32" s="17">
        <f>A4.1.1!O32-A4.2.2!O32-A4.2.3!O32-A4.2.4!O32</f>
        <v>-1</v>
      </c>
    </row>
    <row r="33" spans="1:35" s="29" customFormat="1" ht="13.35" customHeight="1">
      <c r="A33" s="27"/>
      <c r="B33" s="30" t="s">
        <v>77</v>
      </c>
      <c r="C33" s="30"/>
      <c r="D33" s="15">
        <f>A4.1.1!D33-A4.2.2!D33-A4.2.3!D33-A4.2.4!D33</f>
        <v>33</v>
      </c>
      <c r="E33" s="16">
        <f>A4.1.1!E33-A4.2.2!E33-A4.2.3!E33-A4.2.4!E33</f>
        <v>1</v>
      </c>
      <c r="F33" s="16">
        <f>A4.1.1!F33-A4.2.2!F33-A4.2.3!F33-A4.2.4!F33</f>
        <v>-1</v>
      </c>
      <c r="G33" s="15">
        <f>A4.1.1!G33-A4.2.2!G33-A4.2.3!G33-A4.2.4!G33</f>
        <v>31</v>
      </c>
      <c r="H33" s="16">
        <f>A4.1.1!H33-A4.2.2!H33-A4.2.3!H33-A4.2.4!H33</f>
        <v>1</v>
      </c>
      <c r="I33" s="16">
        <f>A4.1.1!I33-A4.2.2!I33-A4.2.3!I33-A4.2.4!I33</f>
        <v>-2</v>
      </c>
      <c r="J33" s="15">
        <f>A4.1.1!J33-A4.2.2!J33-A4.2.3!J33-A4.2.4!J33</f>
        <v>30</v>
      </c>
      <c r="K33" s="16">
        <f>A4.1.1!K33-A4.2.2!K33-A4.2.3!K33-A4.2.4!K33</f>
        <v>3</v>
      </c>
      <c r="L33" s="16">
        <f>A4.1.1!L33-A4.2.2!L33-A4.2.3!L33-A4.2.4!L33</f>
        <v>-2</v>
      </c>
      <c r="M33" s="15">
        <f>A4.1.1!M33-A4.2.2!M33-A4.2.3!M33-A4.2.4!M33</f>
        <v>33</v>
      </c>
      <c r="N33" s="16">
        <f>A4.1.1!N33-A4.2.2!N33-A4.2.3!N33-A4.2.4!N33</f>
        <v>1</v>
      </c>
      <c r="O33" s="17">
        <f>A4.1.1!O33-A4.2.2!O33-A4.2.3!O33-A4.2.4!O33</f>
        <v>-2</v>
      </c>
    </row>
    <row r="34" spans="1:35" s="33" customFormat="1" ht="13.35" customHeight="1">
      <c r="A34" s="31"/>
      <c r="B34" s="32" t="s">
        <v>91</v>
      </c>
      <c r="C34" s="32"/>
      <c r="D34" s="15">
        <f>A4.1.1!D34-A4.2.2!D34-A4.2.3!D34-A4.2.4!D34</f>
        <v>7</v>
      </c>
      <c r="E34" s="16">
        <f>A4.1.1!E34-A4.2.2!E34-A4.2.3!E34-A4.2.4!E34</f>
        <v>1</v>
      </c>
      <c r="F34" s="16">
        <f>A4.1.1!F34-A4.2.2!F34-A4.2.3!F34-A4.2.4!F34</f>
        <v>-2</v>
      </c>
      <c r="G34" s="15">
        <f>A4.1.1!G34-A4.2.2!G34-A4.2.3!G34-A4.2.4!G34</f>
        <v>7</v>
      </c>
      <c r="H34" s="16">
        <f>A4.1.1!H34-A4.2.2!H34-A4.2.3!H34-A4.2.4!H34</f>
        <v>1</v>
      </c>
      <c r="I34" s="16">
        <f>A4.1.1!I34-A4.2.2!I34-A4.2.3!I34-A4.2.4!I34</f>
        <v>-1</v>
      </c>
      <c r="J34" s="15">
        <f>A4.1.1!J34-A4.2.2!J34-A4.2.3!J34-A4.2.4!J34</f>
        <v>6</v>
      </c>
      <c r="K34" s="16">
        <f>A4.1.1!K34-A4.2.2!K34-A4.2.3!K34-A4.2.4!K34</f>
        <v>1</v>
      </c>
      <c r="L34" s="16">
        <f>A4.1.1!L34-A4.2.2!L34-A4.2.3!L34-A4.2.4!L34</f>
        <v>-2</v>
      </c>
      <c r="M34" s="15">
        <f>A4.1.1!M34-A4.2.2!M34-A4.2.3!M34-A4.2.4!M34</f>
        <v>4</v>
      </c>
      <c r="N34" s="16">
        <f>A4.1.1!N34-A4.2.2!N34-A4.2.3!N34-A4.2.4!N34</f>
        <v>1</v>
      </c>
      <c r="O34" s="17">
        <f>A4.1.1!O34-A4.2.2!O34-A4.2.3!O34-A4.2.4!O34</f>
        <v>-1</v>
      </c>
    </row>
    <row r="35" spans="1:35" s="33" customFormat="1" ht="13.35" customHeight="1">
      <c r="A35" s="31"/>
      <c r="B35" s="32" t="s">
        <v>78</v>
      </c>
      <c r="C35" s="32"/>
      <c r="D35" s="15">
        <f>A4.1.1!D35-A4.2.2!D35-A4.2.3!D35-A4.2.4!D35</f>
        <v>58</v>
      </c>
      <c r="E35" s="16">
        <f>A4.1.1!E35-A4.2.2!E35-A4.2.3!E35-A4.2.4!E35</f>
        <v>2</v>
      </c>
      <c r="F35" s="16">
        <f>A4.1.1!F35-A4.2.2!F35-A4.2.3!F35-A4.2.4!F35</f>
        <v>0</v>
      </c>
      <c r="G35" s="15">
        <f>A4.1.1!G35-A4.2.2!G35-A4.2.3!G35-A4.2.4!G35</f>
        <v>55</v>
      </c>
      <c r="H35" s="16">
        <f>A4.1.1!H35-A4.2.2!H35-A4.2.3!H35-A4.2.4!H35</f>
        <v>2</v>
      </c>
      <c r="I35" s="16">
        <f>A4.1.1!I35-A4.2.2!I35-A4.2.3!I35-A4.2.4!I35</f>
        <v>-1</v>
      </c>
      <c r="J35" s="15">
        <f>A4.1.1!J35-A4.2.2!J35-A4.2.3!J35-A4.2.4!J35</f>
        <v>45</v>
      </c>
      <c r="K35" s="16">
        <f>A4.1.1!K35-A4.2.2!K35-A4.2.3!K35-A4.2.4!K35</f>
        <v>2</v>
      </c>
      <c r="L35" s="16">
        <f>A4.1.1!L35-A4.2.2!L35-A4.2.3!L35-A4.2.4!L35</f>
        <v>-1</v>
      </c>
      <c r="M35" s="15">
        <f>A4.1.1!M35-A4.2.2!M35-A4.2.3!M35-A4.2.4!M35</f>
        <v>44</v>
      </c>
      <c r="N35" s="16">
        <f>A4.1.1!N35-A4.2.2!N35-A4.2.3!N35-A4.2.4!N35</f>
        <v>2</v>
      </c>
      <c r="O35" s="17">
        <f>A4.1.1!O35-A4.2.2!O35-A4.2.3!O35-A4.2.4!O35</f>
        <v>0</v>
      </c>
    </row>
    <row r="36" spans="1:35" s="33" customFormat="1" ht="13.35" customHeight="1">
      <c r="A36" s="31"/>
      <c r="B36" s="32" t="s">
        <v>92</v>
      </c>
      <c r="C36" s="32"/>
      <c r="D36" s="15">
        <f>A4.1.1!D36-A4.2.2!D36-A4.2.3!D36-A4.2.4!D36</f>
        <v>10</v>
      </c>
      <c r="E36" s="16">
        <f>A4.1.1!E36-A4.2.2!E36-A4.2.3!E36-A4.2.4!E36</f>
        <v>1</v>
      </c>
      <c r="F36" s="16">
        <f>A4.1.1!F36-A4.2.2!F36-A4.2.3!F36-A4.2.4!F36</f>
        <v>-1</v>
      </c>
      <c r="G36" s="15">
        <f>A4.1.1!G36-A4.2.2!G36-A4.2.3!G36-A4.2.4!G36</f>
        <v>9</v>
      </c>
      <c r="H36" s="16">
        <f>A4.1.1!H36-A4.2.2!H36-A4.2.3!H36-A4.2.4!H36</f>
        <v>1</v>
      </c>
      <c r="I36" s="16">
        <f>A4.1.1!I36-A4.2.2!I36-A4.2.3!I36-A4.2.4!I36</f>
        <v>-2</v>
      </c>
      <c r="J36" s="15">
        <f>A4.1.1!J36-A4.2.2!J36-A4.2.3!J36-A4.2.4!J36</f>
        <v>7</v>
      </c>
      <c r="K36" s="16">
        <f>A4.1.1!K36-A4.2.2!K36-A4.2.3!K36-A4.2.4!K36</f>
        <v>2</v>
      </c>
      <c r="L36" s="16">
        <f>A4.1.1!L36-A4.2.2!L36-A4.2.3!L36-A4.2.4!L36</f>
        <v>-1</v>
      </c>
      <c r="M36" s="15">
        <f>A4.1.1!M36-A4.2.2!M36-A4.2.3!M36-A4.2.4!M36</f>
        <v>6</v>
      </c>
      <c r="N36" s="16">
        <f>A4.1.1!N36-A4.2.2!N36-A4.2.3!N36-A4.2.4!N36</f>
        <v>1</v>
      </c>
      <c r="O36" s="17">
        <f>A4.1.1!O36-A4.2.2!O36-A4.2.3!O36-A4.2.4!O36</f>
        <v>-1</v>
      </c>
    </row>
    <row r="37" spans="1:35" s="33" customFormat="1" ht="13.35" customHeight="1">
      <c r="A37" s="31"/>
      <c r="B37" s="32" t="s">
        <v>42</v>
      </c>
      <c r="C37" s="32"/>
      <c r="D37" s="15">
        <f>A4.1.1!D37-A4.2.2!D37-A4.2.3!D37-A4.2.4!D37</f>
        <v>44</v>
      </c>
      <c r="E37" s="16">
        <f>A4.1.1!E37-A4.2.2!E37-A4.2.3!E37-A4.2.4!E37</f>
        <v>26</v>
      </c>
      <c r="F37" s="16">
        <f>A4.1.1!F37-A4.2.2!F37-A4.2.3!F37-A4.2.4!F37</f>
        <v>-2</v>
      </c>
      <c r="G37" s="15">
        <f>A4.1.1!G37-A4.2.2!G37-A4.2.3!G37-A4.2.4!G37</f>
        <v>34</v>
      </c>
      <c r="H37" s="16">
        <f>A4.1.1!H37-A4.2.2!H37-A4.2.3!H37-A4.2.4!H37</f>
        <v>19</v>
      </c>
      <c r="I37" s="16">
        <f>A4.1.1!I37-A4.2.2!I37-A4.2.3!I37-A4.2.4!I37</f>
        <v>0</v>
      </c>
      <c r="J37" s="15">
        <f>A4.1.1!J37-A4.2.2!J37-A4.2.3!J37-A4.2.4!J37</f>
        <v>39</v>
      </c>
      <c r="K37" s="16">
        <f>A4.1.1!K37-A4.2.2!K37-A4.2.3!K37-A4.2.4!K37</f>
        <v>8</v>
      </c>
      <c r="L37" s="16">
        <f>A4.1.1!L37-A4.2.2!L37-A4.2.3!L37-A4.2.4!L37</f>
        <v>-6</v>
      </c>
      <c r="M37" s="15">
        <f>A4.1.1!M37-A4.2.2!M37-A4.2.3!M37-A4.2.4!M37</f>
        <v>30</v>
      </c>
      <c r="N37" s="16">
        <f>A4.1.1!N37-A4.2.2!N37-A4.2.3!N37-A4.2.4!N37</f>
        <v>7</v>
      </c>
      <c r="O37" s="17">
        <f>A4.1.1!O37-A4.2.2!O37-A4.2.3!O37-A4.2.4!O37</f>
        <v>0</v>
      </c>
    </row>
    <row r="38" spans="1:35" s="29" customFormat="1" ht="13.35" customHeight="1">
      <c r="A38" s="34"/>
      <c r="B38" s="35" t="s">
        <v>0</v>
      </c>
      <c r="C38" s="36"/>
      <c r="D38" s="37">
        <f t="shared" ref="D38:O38" si="0">SUM(D4:D37)</f>
        <v>22857</v>
      </c>
      <c r="E38" s="38">
        <f t="shared" si="0"/>
        <v>456</v>
      </c>
      <c r="F38" s="38">
        <f t="shared" si="0"/>
        <v>-231</v>
      </c>
      <c r="G38" s="37">
        <f t="shared" si="0"/>
        <v>22284</v>
      </c>
      <c r="H38" s="38">
        <f t="shared" si="0"/>
        <v>453</v>
      </c>
      <c r="I38" s="38">
        <f t="shared" si="0"/>
        <v>-232</v>
      </c>
      <c r="J38" s="37">
        <f t="shared" si="0"/>
        <v>20395</v>
      </c>
      <c r="K38" s="38">
        <f t="shared" si="0"/>
        <v>428</v>
      </c>
      <c r="L38" s="38">
        <f t="shared" si="0"/>
        <v>-223</v>
      </c>
      <c r="M38" s="37">
        <f t="shared" si="0"/>
        <v>19298</v>
      </c>
      <c r="N38" s="38">
        <f>SUM(N4:N37)</f>
        <v>409</v>
      </c>
      <c r="O38" s="39">
        <f t="shared" si="0"/>
        <v>-225</v>
      </c>
    </row>
    <row r="39" spans="1:35" s="29" customFormat="1" ht="12" customHeight="1">
      <c r="B39" s="63" t="s">
        <v>94</v>
      </c>
    </row>
    <row r="40" spans="1:35" s="29" customFormat="1" ht="13.35" customHeight="1"/>
    <row r="41" spans="1:35" s="29" customFormat="1" ht="13.35" customHeight="1"/>
    <row r="42" spans="1:35" s="29" customFormat="1" ht="13.35" customHeight="1">
      <c r="N42" s="107"/>
    </row>
    <row r="43" spans="1:35" s="29" customFormat="1" ht="13.35" customHeight="1"/>
    <row r="44" spans="1:35" s="43" customFormat="1" ht="13.35" customHeight="1">
      <c r="A44" s="30"/>
      <c r="B44" s="14"/>
      <c r="C44" s="40"/>
      <c r="D44" s="41"/>
      <c r="E44" s="41"/>
      <c r="F44" s="41"/>
      <c r="G44" s="41"/>
      <c r="H44" s="41"/>
      <c r="I44" s="42"/>
      <c r="J44" s="41"/>
      <c r="K44" s="41"/>
      <c r="L44" s="42"/>
      <c r="M44" s="41"/>
      <c r="N44" s="41"/>
      <c r="O44" s="42"/>
      <c r="P44" s="7"/>
      <c r="Q44" s="7"/>
      <c r="R44" s="22"/>
      <c r="S44" s="23"/>
      <c r="T44" s="24"/>
      <c r="U44" s="24"/>
      <c r="V44" s="24"/>
      <c r="W44" s="24"/>
      <c r="X44" s="24"/>
      <c r="Y44" s="24"/>
      <c r="Z44" s="24"/>
      <c r="AA44" s="24"/>
      <c r="AB44" s="25"/>
      <c r="AC44" s="26"/>
      <c r="AD44" s="26"/>
      <c r="AE44" s="11"/>
      <c r="AF44" s="11"/>
      <c r="AG44" s="11"/>
      <c r="AH44" s="11"/>
      <c r="AI44" s="11"/>
    </row>
    <row r="45" spans="1:35" s="29" customFormat="1" ht="13.35" customHeight="1"/>
    <row r="46" spans="1:35" s="29" customFormat="1" ht="13.35" customHeight="1"/>
    <row r="47" spans="1:35" s="29" customFormat="1" ht="13.35" customHeight="1"/>
    <row r="48" spans="1:35" s="29" customFormat="1" ht="13.35" customHeight="1"/>
    <row r="49" spans="16:18" s="29" customFormat="1" ht="13.35" customHeight="1"/>
    <row r="50" spans="16:18" s="29" customFormat="1" ht="13.35" customHeight="1"/>
    <row r="51" spans="16:18" s="29" customFormat="1" ht="13.35" customHeight="1"/>
    <row r="52" spans="16:18" s="29" customFormat="1" ht="13.35" customHeight="1"/>
    <row r="53" spans="16:18" s="29" customFormat="1" ht="13.35" customHeight="1"/>
    <row r="54" spans="16:18" s="29" customFormat="1" ht="13.35" customHeight="1"/>
    <row r="55" spans="16:18" s="29" customFormat="1" ht="13.35" customHeight="1"/>
    <row r="56" spans="16:18" s="29" customFormat="1" ht="13.35" customHeight="1"/>
    <row r="57" spans="16:18" s="29" customFormat="1" ht="13.35" customHeight="1"/>
    <row r="58" spans="16:18" s="29" customFormat="1" ht="13.35" customHeight="1"/>
    <row r="59" spans="16:18" s="29" customFormat="1" ht="13.35" customHeight="1"/>
    <row r="60" spans="16:18" s="29" customFormat="1" ht="13.35" customHeight="1"/>
    <row r="61" spans="16:18" s="29" customFormat="1" ht="13.35" customHeight="1">
      <c r="P61" s="29" t="e">
        <f>M61+#REF!</f>
        <v>#REF!</v>
      </c>
      <c r="Q61" s="29" t="e">
        <f>N61+#REF!</f>
        <v>#REF!</v>
      </c>
      <c r="R61" s="29" t="e">
        <f>O61+#REF!</f>
        <v>#REF!</v>
      </c>
    </row>
    <row r="62" spans="16:18" s="29" customFormat="1" ht="13.35" customHeight="1"/>
    <row r="63" spans="16:18" s="29" customFormat="1" ht="13.35" customHeight="1"/>
    <row r="64" spans="16:18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="29" customFormat="1" ht="13.35" customHeight="1"/>
    <row r="3298" s="29" customFormat="1" ht="13.35" customHeight="1"/>
    <row r="3299" s="29" customFormat="1" ht="13.35" customHeight="1"/>
    <row r="3300" s="29" customFormat="1" ht="13.35" customHeight="1"/>
    <row r="3301" s="29" customFormat="1" ht="13.35" customHeight="1"/>
    <row r="3302" s="29" customFormat="1" ht="13.35" customHeight="1"/>
    <row r="3303" s="29" customFormat="1" ht="13.35" customHeight="1"/>
    <row r="3304" s="29" customFormat="1" ht="13.35" customHeight="1"/>
    <row r="3305" s="29" customFormat="1" ht="13.35" customHeight="1"/>
    <row r="3306" s="29" customFormat="1" ht="13.35" customHeight="1"/>
    <row r="3307" s="29" customFormat="1" ht="13.35" customHeight="1"/>
    <row r="3308" s="29" customFormat="1" ht="13.35" customHeight="1"/>
    <row r="3309" s="29" customFormat="1" ht="13.35" customHeight="1"/>
    <row r="3310" s="29" customFormat="1" ht="13.35" customHeight="1"/>
    <row r="3311" s="29" customFormat="1" ht="13.35" customHeight="1"/>
    <row r="3312" s="29" customFormat="1" ht="13.35" customHeight="1"/>
    <row r="3313" s="29" customFormat="1" ht="13.35" customHeight="1"/>
    <row r="3314" s="29" customFormat="1" ht="13.35" customHeight="1"/>
    <row r="3315" s="29" customFormat="1" ht="13.35" customHeight="1"/>
    <row r="3316" s="29" customFormat="1" ht="13.35" customHeight="1"/>
    <row r="3317" s="29" customFormat="1" ht="13.35" customHeight="1"/>
    <row r="3318" s="29" customFormat="1" ht="13.35" customHeight="1"/>
    <row r="3319" s="29" customFormat="1" ht="13.35" customHeight="1"/>
    <row r="3320" s="29" customFormat="1" ht="13.35" customHeight="1"/>
    <row r="3321" s="29" customFormat="1" ht="13.35" customHeight="1"/>
    <row r="3322" s="29" customFormat="1" ht="13.35" customHeight="1"/>
    <row r="3323" s="29" customFormat="1" ht="13.35" customHeight="1"/>
    <row r="3324" s="29" customFormat="1" ht="13.35" customHeight="1"/>
    <row r="3325" s="29" customFormat="1" ht="13.35" customHeight="1"/>
    <row r="3326" s="29" customFormat="1" ht="13.35" customHeight="1"/>
    <row r="3327" s="29" customFormat="1" ht="13.35" customHeight="1"/>
    <row r="3328" s="29" customFormat="1" ht="13.35" customHeight="1"/>
    <row r="3329" spans="2:8" s="29" customFormat="1" ht="13.35" customHeight="1"/>
    <row r="3330" spans="2:8" s="29" customFormat="1" ht="13.35" customHeight="1"/>
    <row r="3331" spans="2:8" s="29" customFormat="1" ht="13.35" customHeight="1"/>
    <row r="3332" spans="2:8" s="29" customFormat="1" ht="13.35" customHeight="1"/>
    <row r="3333" spans="2:8">
      <c r="B3333" s="29"/>
      <c r="C3333" s="29"/>
      <c r="D3333" s="29"/>
      <c r="E3333" s="29"/>
      <c r="F3333" s="29"/>
      <c r="G3333" s="29"/>
      <c r="H3333" s="29"/>
    </row>
  </sheetData>
  <mergeCells count="1">
    <mergeCell ref="B3:C3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7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7" enableFormatConditionsCalculation="0">
    <tabColor theme="3"/>
    <pageSetUpPr fitToPage="1"/>
  </sheetPr>
  <dimension ref="A1:AI3306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24.28515625" style="44" customWidth="1"/>
    <col min="4" max="6" width="9.5703125" style="44" customWidth="1"/>
    <col min="7" max="8" width="9.5703125" style="45" customWidth="1"/>
    <col min="9" max="15" width="9.5703125" style="7" customWidth="1"/>
    <col min="16" max="16" width="9.140625" style="7"/>
    <col min="17" max="17" width="9.140625" style="7" customWidth="1"/>
    <col min="18" max="18" width="14.5703125" style="7" customWidth="1"/>
    <col min="19" max="19" width="10.7109375" style="7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119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5" t="s">
        <v>44</v>
      </c>
      <c r="C3" s="246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21" t="s">
        <v>6</v>
      </c>
      <c r="C4" s="14" t="s">
        <v>14</v>
      </c>
      <c r="D4" s="15">
        <v>124106</v>
      </c>
      <c r="E4" s="16">
        <v>6575</v>
      </c>
      <c r="F4" s="16">
        <v>-2343</v>
      </c>
      <c r="G4" s="15">
        <v>117928</v>
      </c>
      <c r="H4" s="16">
        <v>6840</v>
      </c>
      <c r="I4" s="16">
        <v>-2633</v>
      </c>
      <c r="J4" s="15">
        <v>105420</v>
      </c>
      <c r="K4" s="16">
        <v>6451</v>
      </c>
      <c r="L4" s="16">
        <v>-2415</v>
      </c>
      <c r="M4" s="15">
        <v>95718</v>
      </c>
      <c r="N4" s="16">
        <v>6596</v>
      </c>
      <c r="O4" s="17">
        <v>-2064</v>
      </c>
      <c r="Q4" s="73"/>
      <c r="R4" s="22"/>
      <c r="S4" s="23"/>
      <c r="T4" s="24"/>
      <c r="U4" s="24"/>
      <c r="V4" s="24"/>
      <c r="W4" s="24"/>
      <c r="X4" s="24"/>
      <c r="Y4" s="24"/>
      <c r="Z4" s="24"/>
      <c r="AA4" s="24"/>
      <c r="AB4" s="25"/>
      <c r="AC4" s="26"/>
      <c r="AD4" s="26"/>
    </row>
    <row r="5" spans="1:35" ht="13.35" customHeight="1">
      <c r="A5" s="13"/>
      <c r="B5" s="14" t="s">
        <v>7</v>
      </c>
      <c r="C5" s="14" t="s">
        <v>15</v>
      </c>
      <c r="D5" s="15">
        <v>14857</v>
      </c>
      <c r="E5" s="16">
        <v>4254</v>
      </c>
      <c r="F5" s="16">
        <v>-2823</v>
      </c>
      <c r="G5" s="15">
        <v>14154</v>
      </c>
      <c r="H5" s="16">
        <v>5272</v>
      </c>
      <c r="I5" s="16">
        <v>-3304</v>
      </c>
      <c r="J5" s="15">
        <v>12833</v>
      </c>
      <c r="K5" s="16">
        <v>4778</v>
      </c>
      <c r="L5" s="16">
        <v>-3630</v>
      </c>
      <c r="M5" s="15">
        <v>11750</v>
      </c>
      <c r="N5" s="16">
        <v>4643</v>
      </c>
      <c r="O5" s="17">
        <v>-3256</v>
      </c>
      <c r="Q5" s="7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</v>
      </c>
      <c r="C6" s="14" t="s">
        <v>97</v>
      </c>
      <c r="D6" s="15">
        <v>350531</v>
      </c>
      <c r="E6" s="16">
        <f>154096-11</f>
        <v>154085</v>
      </c>
      <c r="F6" s="16">
        <f>-87283+13</f>
        <v>-87270</v>
      </c>
      <c r="G6" s="15">
        <v>360375</v>
      </c>
      <c r="H6" s="16">
        <f>169011-14</f>
        <v>168997</v>
      </c>
      <c r="I6" s="16">
        <f>-113491+17</f>
        <v>-113474</v>
      </c>
      <c r="J6" s="15">
        <v>338015</v>
      </c>
      <c r="K6" s="16">
        <f>176540-9</f>
        <v>176531</v>
      </c>
      <c r="L6" s="16">
        <f>-99464+11</f>
        <v>-99453</v>
      </c>
      <c r="M6" s="15">
        <v>322548</v>
      </c>
      <c r="N6" s="16">
        <f>185617-15</f>
        <v>185602</v>
      </c>
      <c r="O6" s="17">
        <f>-90342+13</f>
        <v>-90329</v>
      </c>
      <c r="Q6" s="7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9</v>
      </c>
      <c r="C7" s="14" t="s">
        <v>120</v>
      </c>
      <c r="D7" s="15">
        <v>852</v>
      </c>
      <c r="E7" s="16">
        <v>2629</v>
      </c>
      <c r="F7" s="16">
        <v>-3655</v>
      </c>
      <c r="G7" s="15">
        <v>850</v>
      </c>
      <c r="H7" s="16">
        <v>2061</v>
      </c>
      <c r="I7" s="16">
        <v>-5157</v>
      </c>
      <c r="J7" s="15">
        <v>826</v>
      </c>
      <c r="K7" s="16">
        <v>2520</v>
      </c>
      <c r="L7" s="16">
        <v>-7007</v>
      </c>
      <c r="M7" s="15">
        <v>822</v>
      </c>
      <c r="N7" s="16">
        <v>3154</v>
      </c>
      <c r="O7" s="17">
        <v>-4933</v>
      </c>
      <c r="Q7" s="73"/>
    </row>
    <row r="8" spans="1:35" ht="13.35" customHeight="1">
      <c r="A8" s="13"/>
      <c r="B8" s="14" t="s">
        <v>10</v>
      </c>
      <c r="C8" s="14" t="s">
        <v>33</v>
      </c>
      <c r="D8" s="15">
        <v>2760</v>
      </c>
      <c r="E8" s="16">
        <v>1387</v>
      </c>
      <c r="F8" s="16">
        <v>-464</v>
      </c>
      <c r="G8" s="15">
        <v>2898</v>
      </c>
      <c r="H8" s="16">
        <v>1443</v>
      </c>
      <c r="I8" s="16">
        <v>-731</v>
      </c>
      <c r="J8" s="15">
        <v>2829</v>
      </c>
      <c r="K8" s="16">
        <v>1712</v>
      </c>
      <c r="L8" s="16">
        <v>-818</v>
      </c>
      <c r="M8" s="15">
        <v>2746</v>
      </c>
      <c r="N8" s="16">
        <v>1897</v>
      </c>
      <c r="O8" s="17">
        <v>-801</v>
      </c>
      <c r="Q8" s="73"/>
    </row>
    <row r="9" spans="1:35" ht="13.35" customHeight="1">
      <c r="A9" s="13"/>
      <c r="B9" s="14" t="s">
        <v>11</v>
      </c>
      <c r="C9" s="14" t="s">
        <v>16</v>
      </c>
      <c r="D9" s="15">
        <v>31321</v>
      </c>
      <c r="E9" s="16">
        <v>2880</v>
      </c>
      <c r="F9" s="16">
        <v>-1846</v>
      </c>
      <c r="G9" s="15">
        <v>32004</v>
      </c>
      <c r="H9" s="16">
        <v>2984</v>
      </c>
      <c r="I9" s="16">
        <v>-2197</v>
      </c>
      <c r="J9" s="15">
        <v>31118</v>
      </c>
      <c r="K9" s="16">
        <v>3228</v>
      </c>
      <c r="L9" s="16">
        <v>-1617</v>
      </c>
      <c r="M9" s="15">
        <v>30497</v>
      </c>
      <c r="N9" s="16">
        <v>3309</v>
      </c>
      <c r="O9" s="17">
        <v>-1522</v>
      </c>
      <c r="Q9" s="73"/>
    </row>
    <row r="10" spans="1:35" s="29" customFormat="1" ht="13.35" customHeight="1">
      <c r="A10" s="27"/>
      <c r="B10" s="28" t="s">
        <v>12</v>
      </c>
      <c r="C10" s="28" t="s">
        <v>17</v>
      </c>
      <c r="D10" s="15">
        <v>851</v>
      </c>
      <c r="E10" s="16">
        <v>163</v>
      </c>
      <c r="F10" s="16">
        <v>-158</v>
      </c>
      <c r="G10" s="15">
        <v>835</v>
      </c>
      <c r="H10" s="16">
        <v>181</v>
      </c>
      <c r="I10" s="16">
        <v>-92</v>
      </c>
      <c r="J10" s="15">
        <v>787</v>
      </c>
      <c r="K10" s="16">
        <v>189</v>
      </c>
      <c r="L10" s="16">
        <v>-23</v>
      </c>
      <c r="M10" s="15">
        <v>733</v>
      </c>
      <c r="N10" s="16">
        <v>176</v>
      </c>
      <c r="O10" s="17">
        <v>-30</v>
      </c>
      <c r="Q10" s="73"/>
    </row>
    <row r="11" spans="1:35" s="29" customFormat="1" ht="13.35" customHeight="1">
      <c r="A11" s="27"/>
      <c r="B11" s="28" t="s">
        <v>13</v>
      </c>
      <c r="C11" s="28" t="s">
        <v>98</v>
      </c>
      <c r="D11" s="15">
        <v>1191</v>
      </c>
      <c r="E11" s="16">
        <v>69</v>
      </c>
      <c r="F11" s="16">
        <v>-157</v>
      </c>
      <c r="G11" s="15">
        <v>1206</v>
      </c>
      <c r="H11" s="16">
        <v>52</v>
      </c>
      <c r="I11" s="16">
        <v>-192</v>
      </c>
      <c r="J11" s="15">
        <v>1164</v>
      </c>
      <c r="K11" s="16">
        <v>45</v>
      </c>
      <c r="L11" s="16">
        <v>-198</v>
      </c>
      <c r="M11" s="15">
        <v>1157</v>
      </c>
      <c r="N11" s="16">
        <v>68</v>
      </c>
      <c r="O11" s="17">
        <v>-178</v>
      </c>
      <c r="Q11" s="73"/>
    </row>
    <row r="12" spans="1:35" s="33" customFormat="1" ht="13.35" customHeight="1">
      <c r="A12" s="31"/>
      <c r="B12" s="32"/>
      <c r="C12" s="32" t="s">
        <v>41</v>
      </c>
      <c r="D12" s="15">
        <v>102</v>
      </c>
      <c r="E12" s="16">
        <v>169</v>
      </c>
      <c r="F12" s="16">
        <v>-6</v>
      </c>
      <c r="G12" s="15">
        <v>92</v>
      </c>
      <c r="H12" s="16">
        <v>160</v>
      </c>
      <c r="I12" s="16">
        <v>-22</v>
      </c>
      <c r="J12" s="15">
        <v>91</v>
      </c>
      <c r="K12" s="16">
        <v>115</v>
      </c>
      <c r="L12" s="16">
        <v>-7</v>
      </c>
      <c r="M12" s="15">
        <v>79</v>
      </c>
      <c r="N12" s="16">
        <v>21</v>
      </c>
      <c r="O12" s="17">
        <v>-14</v>
      </c>
      <c r="Q12" s="73"/>
    </row>
    <row r="13" spans="1:35" s="29" customFormat="1" ht="13.35" customHeight="1">
      <c r="A13" s="83"/>
      <c r="B13" s="84" t="s">
        <v>0</v>
      </c>
      <c r="C13" s="85"/>
      <c r="D13" s="86">
        <f t="shared" ref="D13:F13" si="0">SUM(D4:D12)</f>
        <v>526571</v>
      </c>
      <c r="E13" s="87">
        <f t="shared" si="0"/>
        <v>172211</v>
      </c>
      <c r="F13" s="87">
        <f t="shared" si="0"/>
        <v>-98722</v>
      </c>
      <c r="G13" s="86">
        <f t="shared" ref="G13:O13" si="1">SUM(G4:G12)</f>
        <v>530342</v>
      </c>
      <c r="H13" s="87">
        <f t="shared" si="1"/>
        <v>187990</v>
      </c>
      <c r="I13" s="87">
        <f t="shared" si="1"/>
        <v>-127802</v>
      </c>
      <c r="J13" s="86">
        <f t="shared" si="1"/>
        <v>493083</v>
      </c>
      <c r="K13" s="87">
        <f t="shared" si="1"/>
        <v>195569</v>
      </c>
      <c r="L13" s="87">
        <f t="shared" si="1"/>
        <v>-115168</v>
      </c>
      <c r="M13" s="86">
        <f t="shared" si="1"/>
        <v>466050</v>
      </c>
      <c r="N13" s="87">
        <f t="shared" si="1"/>
        <v>205466</v>
      </c>
      <c r="O13" s="88">
        <f t="shared" si="1"/>
        <v>-103127</v>
      </c>
    </row>
    <row r="14" spans="1:35" s="29" customFormat="1" ht="13.35" customHeight="1">
      <c r="A14" s="108"/>
      <c r="B14" s="244" t="s">
        <v>43</v>
      </c>
      <c r="C14" s="239"/>
      <c r="D14" s="109"/>
      <c r="E14" s="110"/>
      <c r="F14" s="110"/>
      <c r="G14" s="109"/>
      <c r="H14" s="110"/>
      <c r="I14" s="110"/>
      <c r="J14" s="109"/>
      <c r="K14" s="110"/>
      <c r="L14" s="110"/>
      <c r="M14" s="109"/>
      <c r="N14" s="110"/>
      <c r="O14" s="111"/>
    </row>
    <row r="15" spans="1:35" s="29" customFormat="1" ht="13.35" customHeight="1">
      <c r="A15" s="13"/>
      <c r="B15" s="21" t="s">
        <v>6</v>
      </c>
      <c r="C15" s="14" t="s">
        <v>14</v>
      </c>
      <c r="D15" s="95">
        <f t="shared" ref="D15:O15" si="2">D4/D$13</f>
        <v>0.23568711531778241</v>
      </c>
      <c r="E15" s="96">
        <f t="shared" si="2"/>
        <v>3.8179907206856704E-2</v>
      </c>
      <c r="F15" s="96">
        <f t="shared" si="2"/>
        <v>2.3733311723830555E-2</v>
      </c>
      <c r="G15" s="95">
        <f t="shared" si="2"/>
        <v>0.22236217384253934</v>
      </c>
      <c r="H15" s="96">
        <f t="shared" si="2"/>
        <v>3.6384914091175065E-2</v>
      </c>
      <c r="I15" s="96">
        <f t="shared" si="2"/>
        <v>2.0602181499507051E-2</v>
      </c>
      <c r="J15" s="95">
        <f t="shared" si="2"/>
        <v>0.21379767706451044</v>
      </c>
      <c r="K15" s="96">
        <f t="shared" si="2"/>
        <v>3.2985800408040132E-2</v>
      </c>
      <c r="L15" s="96">
        <f t="shared" si="2"/>
        <v>2.0969366490691858E-2</v>
      </c>
      <c r="M15" s="95">
        <f t="shared" si="2"/>
        <v>0.20538139684583198</v>
      </c>
      <c r="N15" s="96">
        <f t="shared" si="2"/>
        <v>3.210263498583707E-2</v>
      </c>
      <c r="O15" s="97">
        <f t="shared" si="2"/>
        <v>2.0014157301191736E-2</v>
      </c>
    </row>
    <row r="16" spans="1:35" s="29" customFormat="1" ht="13.35" customHeight="1">
      <c r="A16" s="13"/>
      <c r="B16" s="14" t="s">
        <v>7</v>
      </c>
      <c r="C16" s="14" t="s">
        <v>15</v>
      </c>
      <c r="D16" s="95">
        <f t="shared" ref="D16:O16" si="3">D5/D$13</f>
        <v>2.8214618731377154E-2</v>
      </c>
      <c r="E16" s="96">
        <f t="shared" si="3"/>
        <v>2.4702254792086452E-2</v>
      </c>
      <c r="F16" s="96">
        <f t="shared" si="3"/>
        <v>2.8595449849071128E-2</v>
      </c>
      <c r="G16" s="95">
        <f t="shared" si="3"/>
        <v>2.6688438781013006E-2</v>
      </c>
      <c r="H16" s="96">
        <f t="shared" si="3"/>
        <v>2.8044044896005108E-2</v>
      </c>
      <c r="I16" s="96">
        <f t="shared" si="3"/>
        <v>2.5852490571352561E-2</v>
      </c>
      <c r="J16" s="95">
        <f t="shared" si="3"/>
        <v>2.602604429680196E-2</v>
      </c>
      <c r="K16" s="96">
        <f t="shared" si="3"/>
        <v>2.4431274895305492E-2</v>
      </c>
      <c r="L16" s="96">
        <f t="shared" si="3"/>
        <v>3.1519171992220062E-2</v>
      </c>
      <c r="M16" s="95">
        <f t="shared" si="3"/>
        <v>2.5211887136573328E-2</v>
      </c>
      <c r="N16" s="96">
        <f t="shared" si="3"/>
        <v>2.2597412710618787E-2</v>
      </c>
      <c r="O16" s="97">
        <f t="shared" si="3"/>
        <v>3.1572721013895487E-2</v>
      </c>
    </row>
    <row r="17" spans="1:15" s="29" customFormat="1" ht="13.35" customHeight="1">
      <c r="A17" s="13"/>
      <c r="B17" s="14" t="s">
        <v>8</v>
      </c>
      <c r="C17" s="14" t="s">
        <v>97</v>
      </c>
      <c r="D17" s="95">
        <f t="shared" ref="D17:O17" si="4">D6/D$13</f>
        <v>0.66568610880584</v>
      </c>
      <c r="E17" s="96">
        <f t="shared" si="4"/>
        <v>0.89474539953893772</v>
      </c>
      <c r="F17" s="96">
        <f t="shared" si="4"/>
        <v>0.88399748789530197</v>
      </c>
      <c r="G17" s="95">
        <f t="shared" si="4"/>
        <v>0.67951435111682645</v>
      </c>
      <c r="H17" s="96">
        <f t="shared" si="4"/>
        <v>0.8989680302143731</v>
      </c>
      <c r="I17" s="96">
        <f t="shared" si="4"/>
        <v>0.8878890784181781</v>
      </c>
      <c r="J17" s="95">
        <f t="shared" si="4"/>
        <v>0.68551339226864438</v>
      </c>
      <c r="K17" s="96">
        <f t="shared" si="4"/>
        <v>0.90265328349585061</v>
      </c>
      <c r="L17" s="96">
        <f t="shared" si="4"/>
        <v>0.86354716587941094</v>
      </c>
      <c r="M17" s="95">
        <f t="shared" si="4"/>
        <v>0.69208883167042168</v>
      </c>
      <c r="N17" s="96">
        <f t="shared" si="4"/>
        <v>0.90332220416029907</v>
      </c>
      <c r="O17" s="97">
        <f t="shared" si="4"/>
        <v>0.87590058859464548</v>
      </c>
    </row>
    <row r="18" spans="1:15" s="29" customFormat="1" ht="13.35" customHeight="1">
      <c r="A18" s="13"/>
      <c r="B18" s="14" t="s">
        <v>9</v>
      </c>
      <c r="C18" s="14" t="s">
        <v>120</v>
      </c>
      <c r="D18" s="95">
        <f t="shared" ref="D18:O18" si="5">D7/D$13</f>
        <v>1.6180154243207469E-3</v>
      </c>
      <c r="E18" s="96">
        <f t="shared" si="5"/>
        <v>1.5266156052749244E-2</v>
      </c>
      <c r="F18" s="96">
        <f t="shared" si="5"/>
        <v>3.7023155932821461E-2</v>
      </c>
      <c r="G18" s="95">
        <f t="shared" si="5"/>
        <v>1.6027393644101353E-3</v>
      </c>
      <c r="H18" s="96">
        <f t="shared" si="5"/>
        <v>1.0963349114314591E-2</v>
      </c>
      <c r="I18" s="96">
        <f t="shared" si="5"/>
        <v>4.0351481197477349E-2</v>
      </c>
      <c r="J18" s="95">
        <f t="shared" si="5"/>
        <v>1.6751743621256463E-3</v>
      </c>
      <c r="K18" s="96">
        <f t="shared" si="5"/>
        <v>1.2885477759767653E-2</v>
      </c>
      <c r="L18" s="96">
        <f t="shared" si="5"/>
        <v>6.0841553209224783E-2</v>
      </c>
      <c r="M18" s="95">
        <f t="shared" si="5"/>
        <v>1.7637592532990022E-3</v>
      </c>
      <c r="N18" s="96">
        <f t="shared" si="5"/>
        <v>1.5350471610874793E-2</v>
      </c>
      <c r="O18" s="97">
        <f t="shared" si="5"/>
        <v>4.7834223821113769E-2</v>
      </c>
    </row>
    <row r="19" spans="1:15" s="29" customFormat="1" ht="13.35" customHeight="1">
      <c r="A19" s="13"/>
      <c r="B19" s="14" t="s">
        <v>10</v>
      </c>
      <c r="C19" s="14" t="s">
        <v>33</v>
      </c>
      <c r="D19" s="95">
        <f t="shared" ref="D19:O19" si="6">D8/D$13</f>
        <v>5.2414584168136869E-3</v>
      </c>
      <c r="E19" s="96">
        <f t="shared" si="6"/>
        <v>8.0540732008988966E-3</v>
      </c>
      <c r="F19" s="96">
        <f t="shared" si="6"/>
        <v>4.7000668543992217E-3</v>
      </c>
      <c r="G19" s="95">
        <f t="shared" si="6"/>
        <v>5.4643984447771436E-3</v>
      </c>
      <c r="H19" s="96">
        <f t="shared" si="6"/>
        <v>7.6759402095856162E-3</v>
      </c>
      <c r="I19" s="96">
        <f t="shared" si="6"/>
        <v>5.719785292874916E-3</v>
      </c>
      <c r="J19" s="95">
        <f t="shared" si="6"/>
        <v>5.7373707874739145E-3</v>
      </c>
      <c r="K19" s="96">
        <f t="shared" si="6"/>
        <v>8.7539436209215157E-3</v>
      </c>
      <c r="L19" s="96">
        <f t="shared" si="6"/>
        <v>7.1026674076132262E-3</v>
      </c>
      <c r="M19" s="95">
        <f t="shared" si="6"/>
        <v>5.8920716661302434E-3</v>
      </c>
      <c r="N19" s="96">
        <f t="shared" si="6"/>
        <v>9.2326710988679395E-3</v>
      </c>
      <c r="O19" s="97">
        <f t="shared" si="6"/>
        <v>7.7671220921776063E-3</v>
      </c>
    </row>
    <row r="20" spans="1:15" s="29" customFormat="1" ht="13.35" customHeight="1">
      <c r="A20" s="13"/>
      <c r="B20" s="14" t="s">
        <v>11</v>
      </c>
      <c r="C20" s="14" t="s">
        <v>16</v>
      </c>
      <c r="D20" s="95">
        <f t="shared" ref="D20:O20" si="7">D9/D$13</f>
        <v>5.9481057635152712E-2</v>
      </c>
      <c r="E20" s="96">
        <f t="shared" si="7"/>
        <v>1.6723670381102253E-2</v>
      </c>
      <c r="F20" s="96">
        <f t="shared" si="7"/>
        <v>1.8698972873321042E-2</v>
      </c>
      <c r="G20" s="95">
        <f t="shared" si="7"/>
        <v>6.0345965433625852E-2</v>
      </c>
      <c r="H20" s="96">
        <f t="shared" si="7"/>
        <v>1.5873184743869354E-2</v>
      </c>
      <c r="I20" s="96">
        <f t="shared" si="7"/>
        <v>1.7190654293360041E-2</v>
      </c>
      <c r="J20" s="95">
        <f t="shared" si="7"/>
        <v>6.3109050606084571E-2</v>
      </c>
      <c r="K20" s="96">
        <f t="shared" si="7"/>
        <v>1.6505683416083328E-2</v>
      </c>
      <c r="L20" s="96">
        <f t="shared" si="7"/>
        <v>1.4040358432898027E-2</v>
      </c>
      <c r="M20" s="95">
        <f t="shared" si="7"/>
        <v>6.5437184851410798E-2</v>
      </c>
      <c r="N20" s="96">
        <f t="shared" si="7"/>
        <v>1.6104854331130212E-2</v>
      </c>
      <c r="O20" s="97">
        <f t="shared" si="7"/>
        <v>1.4758501653301269E-2</v>
      </c>
    </row>
    <row r="21" spans="1:15" s="29" customFormat="1" ht="13.35" customHeight="1">
      <c r="A21" s="27"/>
      <c r="B21" s="28" t="s">
        <v>12</v>
      </c>
      <c r="C21" s="28" t="s">
        <v>17</v>
      </c>
      <c r="D21" s="95">
        <f t="shared" ref="D21:O21" si="8">D10/D$13</f>
        <v>1.6161163451842201E-3</v>
      </c>
      <c r="E21" s="96">
        <f t="shared" si="8"/>
        <v>9.4651328893043997E-4</v>
      </c>
      <c r="F21" s="96">
        <f t="shared" si="8"/>
        <v>1.6004537995583559E-3</v>
      </c>
      <c r="G21" s="95">
        <f t="shared" si="8"/>
        <v>1.5744557285676036E-3</v>
      </c>
      <c r="H21" s="96">
        <f t="shared" si="8"/>
        <v>9.6281717112612372E-4</v>
      </c>
      <c r="I21" s="96">
        <f t="shared" si="8"/>
        <v>7.1986353891175415E-4</v>
      </c>
      <c r="J21" s="95">
        <f t="shared" si="8"/>
        <v>1.5960801731148711E-3</v>
      </c>
      <c r="K21" s="96">
        <f t="shared" si="8"/>
        <v>9.6641083198257388E-4</v>
      </c>
      <c r="L21" s="96">
        <f t="shared" si="8"/>
        <v>1.9970825229230342E-4</v>
      </c>
      <c r="M21" s="95">
        <f t="shared" si="8"/>
        <v>1.5727926188177233E-3</v>
      </c>
      <c r="N21" s="96">
        <f t="shared" si="8"/>
        <v>8.5658941138679881E-4</v>
      </c>
      <c r="O21" s="97">
        <f t="shared" si="8"/>
        <v>2.9090344914522868E-4</v>
      </c>
    </row>
    <row r="22" spans="1:15" s="29" customFormat="1" ht="13.35" customHeight="1">
      <c r="A22" s="27"/>
      <c r="B22" s="28" t="s">
        <v>13</v>
      </c>
      <c r="C22" s="28" t="s">
        <v>98</v>
      </c>
      <c r="D22" s="95">
        <f t="shared" ref="D22:O22" si="9">D11/D$13</f>
        <v>2.2618032516032974E-3</v>
      </c>
      <c r="E22" s="96">
        <f t="shared" si="9"/>
        <v>4.0067126954724147E-4</v>
      </c>
      <c r="F22" s="96">
        <f t="shared" si="9"/>
        <v>1.5903243451307713E-3</v>
      </c>
      <c r="G22" s="95">
        <f t="shared" si="9"/>
        <v>2.2740043217395569E-3</v>
      </c>
      <c r="H22" s="96">
        <f t="shared" si="9"/>
        <v>2.7661045800308527E-4</v>
      </c>
      <c r="I22" s="96">
        <f t="shared" si="9"/>
        <v>1.5023239072940956E-3</v>
      </c>
      <c r="J22" s="95">
        <f t="shared" si="9"/>
        <v>2.3606573335523632E-3</v>
      </c>
      <c r="K22" s="96">
        <f t="shared" si="9"/>
        <v>2.3009781713870809E-4</v>
      </c>
      <c r="L22" s="96">
        <f t="shared" si="9"/>
        <v>1.7192275632120033E-3</v>
      </c>
      <c r="M22" s="95">
        <f t="shared" si="9"/>
        <v>2.4825662482566247E-3</v>
      </c>
      <c r="N22" s="96">
        <f t="shared" si="9"/>
        <v>3.3095499985399046E-4</v>
      </c>
      <c r="O22" s="97">
        <f t="shared" si="9"/>
        <v>1.7260271315950237E-3</v>
      </c>
    </row>
    <row r="23" spans="1:15" s="29" customFormat="1" ht="13.35" customHeight="1">
      <c r="A23" s="31"/>
      <c r="B23" s="32"/>
      <c r="C23" s="32" t="s">
        <v>41</v>
      </c>
      <c r="D23" s="95">
        <f t="shared" ref="D23:O23" si="10">D12/D$13</f>
        <v>1.9370607192572322E-4</v>
      </c>
      <c r="E23" s="96">
        <f t="shared" si="10"/>
        <v>9.813542688910696E-4</v>
      </c>
      <c r="F23" s="96">
        <f t="shared" si="10"/>
        <v>6.0776726565507183E-5</v>
      </c>
      <c r="G23" s="95">
        <f t="shared" si="10"/>
        <v>1.7347296650086172E-4</v>
      </c>
      <c r="H23" s="96">
        <f t="shared" si="10"/>
        <v>8.5110910154795468E-4</v>
      </c>
      <c r="I23" s="96">
        <f t="shared" si="10"/>
        <v>1.7214128104411512E-4</v>
      </c>
      <c r="J23" s="95">
        <f t="shared" si="10"/>
        <v>1.8455310769180847E-4</v>
      </c>
      <c r="K23" s="96">
        <f t="shared" si="10"/>
        <v>5.880277549100317E-4</v>
      </c>
      <c r="L23" s="96">
        <f t="shared" si="10"/>
        <v>6.0780772436787999E-5</v>
      </c>
      <c r="M23" s="95">
        <f t="shared" si="10"/>
        <v>1.6950970925866323E-4</v>
      </c>
      <c r="N23" s="96">
        <f t="shared" si="10"/>
        <v>1.022066911313794E-4</v>
      </c>
      <c r="O23" s="97">
        <f t="shared" si="10"/>
        <v>1.3575494293444006E-4</v>
      </c>
    </row>
    <row r="24" spans="1:15" s="29" customFormat="1" ht="13.35" customHeight="1">
      <c r="A24" s="34"/>
      <c r="B24" s="35" t="s">
        <v>0</v>
      </c>
      <c r="C24" s="36"/>
      <c r="D24" s="98">
        <f t="shared" ref="D24:O24" si="11">D13/D$13</f>
        <v>1</v>
      </c>
      <c r="E24" s="99">
        <f t="shared" si="11"/>
        <v>1</v>
      </c>
      <c r="F24" s="99">
        <f t="shared" si="11"/>
        <v>1</v>
      </c>
      <c r="G24" s="98">
        <f t="shared" si="11"/>
        <v>1</v>
      </c>
      <c r="H24" s="99">
        <f t="shared" si="11"/>
        <v>1</v>
      </c>
      <c r="I24" s="99">
        <f t="shared" si="11"/>
        <v>1</v>
      </c>
      <c r="J24" s="98">
        <f t="shared" si="11"/>
        <v>1</v>
      </c>
      <c r="K24" s="99">
        <f t="shared" si="11"/>
        <v>1</v>
      </c>
      <c r="L24" s="99">
        <f t="shared" si="11"/>
        <v>1</v>
      </c>
      <c r="M24" s="98">
        <f t="shared" si="11"/>
        <v>1</v>
      </c>
      <c r="N24" s="99">
        <f t="shared" si="11"/>
        <v>1</v>
      </c>
      <c r="O24" s="100">
        <f t="shared" si="11"/>
        <v>1</v>
      </c>
    </row>
    <row r="25" spans="1:15" s="29" customFormat="1" ht="13.35" customHeight="1">
      <c r="A25" s="70"/>
      <c r="B25" s="71"/>
      <c r="C25" s="70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</row>
    <row r="26" spans="1:15" s="29" customFormat="1" ht="13.35" customHeight="1">
      <c r="A26" s="70"/>
      <c r="B26" s="71"/>
      <c r="C26" s="70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</row>
    <row r="27" spans="1:15" s="29" customFormat="1" ht="13.35" customHeight="1"/>
    <row r="28" spans="1:15" s="29" customFormat="1" ht="13.35" customHeight="1">
      <c r="K28" s="7"/>
      <c r="M28" s="23"/>
      <c r="N28" s="82"/>
    </row>
    <row r="29" spans="1:15" s="29" customFormat="1" ht="13.35" customHeight="1">
      <c r="K29" s="81"/>
      <c r="L29" s="81"/>
      <c r="M29" s="81"/>
    </row>
    <row r="30" spans="1:15" s="29" customFormat="1" ht="13.35" customHeight="1">
      <c r="K30" s="81"/>
    </row>
    <row r="31" spans="1:15" s="29" customFormat="1" ht="13.35" customHeight="1"/>
    <row r="32" spans="1:15" s="29" customFormat="1" ht="13.35" customHeight="1"/>
    <row r="33" s="29" customFormat="1" ht="13.35" customHeight="1"/>
    <row r="34" s="29" customFormat="1" ht="13.35" customHeight="1"/>
    <row r="35" s="29" customFormat="1" ht="13.35" customHeight="1"/>
    <row r="36" s="29" customFormat="1" ht="13.35" customHeight="1"/>
    <row r="37" s="29" customFormat="1" ht="13.35" customHeight="1"/>
    <row r="38" s="29" customFormat="1" ht="13.35" customHeight="1"/>
    <row r="39" s="29" customFormat="1" ht="13.35" customHeight="1"/>
    <row r="40" s="29" customFormat="1" ht="13.35" customHeight="1"/>
    <row r="41" s="29" customFormat="1" ht="13.35" customHeight="1"/>
    <row r="42" s="29" customFormat="1" ht="13.35" customHeight="1"/>
    <row r="43" s="29" customFormat="1" ht="13.35" customHeight="1"/>
    <row r="44" s="29" customFormat="1" ht="13.35" customHeight="1"/>
    <row r="45" s="29" customFormat="1" ht="13.35" customHeight="1"/>
    <row r="46" s="29" customFormat="1" ht="13.35" customHeight="1"/>
    <row r="47" s="29" customFormat="1" ht="13.35" customHeight="1"/>
    <row r="48" s="29" customFormat="1" ht="13.35" customHeight="1"/>
    <row r="49" s="29" customFormat="1" ht="13.35" customHeight="1"/>
    <row r="50" s="29" customFormat="1" ht="13.35" customHeight="1"/>
    <row r="51" s="29" customFormat="1" ht="13.35" customHeight="1"/>
    <row r="52" s="29" customFormat="1" ht="13.35" customHeight="1"/>
    <row r="53" s="29" customFormat="1" ht="13.35" customHeight="1"/>
    <row r="54" s="29" customFormat="1" ht="13.35" customHeight="1"/>
    <row r="55" s="29" customFormat="1" ht="13.35" customHeight="1"/>
    <row r="56" s="29" customFormat="1" ht="13.35" customHeight="1"/>
    <row r="57" s="29" customFormat="1" ht="13.35" customHeight="1"/>
    <row r="58" s="29" customFormat="1" ht="13.35" customHeight="1"/>
    <row r="59" s="29" customFormat="1" ht="13.35" customHeight="1"/>
    <row r="60" s="29" customFormat="1" ht="13.35" customHeight="1"/>
    <row r="61" s="29" customFormat="1" ht="13.35" customHeight="1"/>
    <row r="62" s="29" customFormat="1" ht="13.35" customHeight="1"/>
    <row r="63" s="29" customFormat="1" ht="13.35" customHeight="1"/>
    <row r="64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pans="2:8" s="29" customFormat="1" ht="13.35" customHeight="1"/>
    <row r="3298" spans="2:8" s="29" customFormat="1" ht="13.35" customHeight="1"/>
    <row r="3299" spans="2:8" s="29" customFormat="1" ht="13.35" customHeight="1"/>
    <row r="3300" spans="2:8" s="29" customFormat="1" ht="13.35" customHeight="1"/>
    <row r="3301" spans="2:8" s="29" customFormat="1" ht="13.35" customHeight="1"/>
    <row r="3302" spans="2:8" s="29" customFormat="1" ht="13.35" customHeight="1"/>
    <row r="3303" spans="2:8" s="29" customFormat="1" ht="13.35" customHeight="1"/>
    <row r="3304" spans="2:8" s="29" customFormat="1" ht="13.35" customHeight="1"/>
    <row r="3305" spans="2:8" s="29" customFormat="1" ht="13.35" customHeight="1"/>
    <row r="3306" spans="2:8">
      <c r="B3306" s="29"/>
      <c r="C3306" s="29"/>
      <c r="D3306" s="29"/>
      <c r="E3306" s="29"/>
      <c r="F3306" s="29"/>
      <c r="G3306" s="29"/>
      <c r="H3306" s="29"/>
    </row>
  </sheetData>
  <mergeCells count="2">
    <mergeCell ref="B3:C3"/>
    <mergeCell ref="B14:C14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86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3277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135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130</v>
      </c>
      <c r="E3" s="61" t="s">
        <v>129</v>
      </c>
      <c r="F3" s="61" t="s">
        <v>131</v>
      </c>
      <c r="G3" s="60" t="s">
        <v>130</v>
      </c>
      <c r="H3" s="61" t="s">
        <v>129</v>
      </c>
      <c r="I3" s="61" t="s">
        <v>131</v>
      </c>
      <c r="J3" s="60" t="s">
        <v>130</v>
      </c>
      <c r="K3" s="61" t="s">
        <v>129</v>
      </c>
      <c r="L3" s="61" t="s">
        <v>131</v>
      </c>
      <c r="M3" s="60" t="s">
        <v>130</v>
      </c>
      <c r="N3" s="61" t="s">
        <v>129</v>
      </c>
      <c r="O3" s="62" t="s">
        <v>131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f>A4.4.2!D4+A4.4.3!D4</f>
        <v>46938.397768000003</v>
      </c>
      <c r="E4" s="16">
        <f>A4.4.2!E4+A4.4.3!E4</f>
        <v>-40986.556052</v>
      </c>
      <c r="F4" s="16">
        <f>A4.4.2!F4+A4.4.3!F4</f>
        <v>5951.8417160000026</v>
      </c>
      <c r="G4" s="15">
        <f>A4.4.2!G4+A4.4.3!G4</f>
        <v>53330.714703999998</v>
      </c>
      <c r="H4" s="16">
        <f>A4.4.2!H4+A4.4.3!H4</f>
        <v>-47734.058113999999</v>
      </c>
      <c r="I4" s="16">
        <f>A4.4.2!I4+A4.4.3!I4</f>
        <v>5596.656589999995</v>
      </c>
      <c r="J4" s="15">
        <f>A4.4.2!J4+A4.4.3!J4</f>
        <v>49901.737777000002</v>
      </c>
      <c r="K4" s="16">
        <f>A4.4.2!K4+A4.4.3!K4</f>
        <v>-41891.932006000003</v>
      </c>
      <c r="L4" s="16">
        <f>A4.4.2!L4+A4.4.3!L4</f>
        <v>8009.8057710000021</v>
      </c>
      <c r="M4" s="15">
        <f>A4.4.2!M4+A4.4.3!M4</f>
        <v>53916.717917000002</v>
      </c>
      <c r="N4" s="16">
        <f>A4.4.2!N4+A4.4.3!N4</f>
        <v>-44699.122813000002</v>
      </c>
      <c r="O4" s="17">
        <f>A4.4.2!O4+A4.4.3!O4</f>
        <v>9217.5951039999982</v>
      </c>
      <c r="Q4" s="73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f>A4.4.2!D5+A4.4.3!D5</f>
        <v>34746.855100999994</v>
      </c>
      <c r="E5" s="16">
        <f>A4.4.2!E5+A4.4.3!E5</f>
        <v>-34120.719174999998</v>
      </c>
      <c r="F5" s="16">
        <f>A4.4.2!F5+A4.4.3!F5</f>
        <v>626.13592599999902</v>
      </c>
      <c r="G5" s="15">
        <f>A4.4.2!G5+A4.4.3!G5</f>
        <v>40408.839766999998</v>
      </c>
      <c r="H5" s="16">
        <f>A4.4.2!H5+A4.4.3!H5</f>
        <v>-43388.201147</v>
      </c>
      <c r="I5" s="16">
        <f>A4.4.2!I5+A4.4.3!I5</f>
        <v>-2979.3613799999985</v>
      </c>
      <c r="J5" s="15">
        <f>A4.4.2!J5+A4.4.3!J5</f>
        <v>40437.566802000001</v>
      </c>
      <c r="K5" s="16">
        <f>A4.4.2!K5+A4.4.3!K5</f>
        <v>-42414.125851000004</v>
      </c>
      <c r="L5" s="16">
        <f>A4.4.2!L5+A4.4.3!L5</f>
        <v>-1976.5590489999977</v>
      </c>
      <c r="M5" s="15">
        <f>A4.4.2!M5+A4.4.3!M5</f>
        <v>49512.926606000001</v>
      </c>
      <c r="N5" s="16">
        <f>A4.4.2!N5+A4.4.3!N5</f>
        <v>-48953.423514000002</v>
      </c>
      <c r="O5" s="17">
        <f>A4.4.2!O5+A4.4.3!O5</f>
        <v>559.50309199999901</v>
      </c>
      <c r="Q5" s="73"/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f>A4.4.2!D6+A4.4.3!D6</f>
        <v>2726.947169</v>
      </c>
      <c r="E6" s="16">
        <f>A4.4.2!E6+A4.4.3!E6</f>
        <v>-2399.3008659999996</v>
      </c>
      <c r="F6" s="16">
        <f>A4.4.2!F6+A4.4.3!F6</f>
        <v>327.64630300000039</v>
      </c>
      <c r="G6" s="15">
        <f>A4.4.2!G6+A4.4.3!G6</f>
        <v>2904.7620459999998</v>
      </c>
      <c r="H6" s="16">
        <f>A4.4.2!H6+A4.4.3!H6</f>
        <v>-2704.7422069999998</v>
      </c>
      <c r="I6" s="16">
        <f>A4.4.2!I6+A4.4.3!I6</f>
        <v>200.01983900000016</v>
      </c>
      <c r="J6" s="15">
        <f>A4.4.2!J6+A4.4.3!J6</f>
        <v>2890.1664380000002</v>
      </c>
      <c r="K6" s="16">
        <f>A4.4.2!K6+A4.4.3!K6</f>
        <v>-2469.4232470000002</v>
      </c>
      <c r="L6" s="16">
        <f>A4.4.2!L6+A4.4.3!L6</f>
        <v>420.74319099999997</v>
      </c>
      <c r="M6" s="15">
        <f>A4.4.2!M6+A4.4.3!M6</f>
        <v>3052.3269599999994</v>
      </c>
      <c r="N6" s="16">
        <f>A4.4.2!N6+A4.4.3!N6</f>
        <v>-2612.3378499999999</v>
      </c>
      <c r="O6" s="17">
        <f>A4.4.2!O6+A4.4.3!O6</f>
        <v>439.98910999999964</v>
      </c>
      <c r="Q6" s="73"/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f>A4.4.2!D7+A4.4.3!D7</f>
        <v>7940.0505689999991</v>
      </c>
      <c r="E7" s="16">
        <f>A4.4.2!E7+A4.4.3!E7</f>
        <v>-6224.0468460000002</v>
      </c>
      <c r="F7" s="16">
        <f>A4.4.2!F7+A4.4.3!F7</f>
        <v>1716.0037229999989</v>
      </c>
      <c r="G7" s="15">
        <f>A4.4.2!G7+A4.4.3!G7</f>
        <v>9089.1127730000007</v>
      </c>
      <c r="H7" s="16">
        <f>A4.4.2!H7+A4.4.3!H7</f>
        <v>-7247.9843719999999</v>
      </c>
      <c r="I7" s="16">
        <f>A4.4.2!I7+A4.4.3!I7</f>
        <v>1841.1284010000002</v>
      </c>
      <c r="J7" s="15">
        <f>A4.4.2!J7+A4.4.3!J7</f>
        <v>8955.5187309999983</v>
      </c>
      <c r="K7" s="16">
        <f>A4.4.2!K7+A4.4.3!K7</f>
        <v>-7095.3237810000001</v>
      </c>
      <c r="L7" s="16">
        <f>A4.4.2!L7+A4.4.3!L7</f>
        <v>1860.1949499999992</v>
      </c>
      <c r="M7" s="15">
        <f>A4.4.2!M7+A4.4.3!M7</f>
        <v>10069.597635</v>
      </c>
      <c r="N7" s="16">
        <f>A4.4.2!N7+A4.4.3!N7</f>
        <v>-7555.7464750000008</v>
      </c>
      <c r="O7" s="17">
        <f>A4.4.2!O7+A4.4.3!O7</f>
        <v>2513.8511599999988</v>
      </c>
      <c r="Q7" s="73"/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f>A4.4.2!D8+A4.4.3!D8</f>
        <v>19627.293567000001</v>
      </c>
      <c r="E8" s="16">
        <f>A4.4.2!E8+A4.4.3!E8</f>
        <v>-18071.511219</v>
      </c>
      <c r="F8" s="16">
        <f>A4.4.2!F8+A4.4.3!F8</f>
        <v>1555.7823479999997</v>
      </c>
      <c r="G8" s="15">
        <f>A4.4.2!G8+A4.4.3!G8</f>
        <v>23280.986566</v>
      </c>
      <c r="H8" s="16">
        <f>A4.4.2!H8+A4.4.3!H8</f>
        <v>-23210.51353</v>
      </c>
      <c r="I8" s="16">
        <f>A4.4.2!I8+A4.4.3!I8</f>
        <v>70.473035999999411</v>
      </c>
      <c r="J8" s="15">
        <f>A4.4.2!J8+A4.4.3!J8</f>
        <v>21360.125080999998</v>
      </c>
      <c r="K8" s="16">
        <f>A4.4.2!K8+A4.4.3!K8</f>
        <v>-19178.113774999998</v>
      </c>
      <c r="L8" s="16">
        <f>A4.4.2!L8+A4.4.3!L8</f>
        <v>2182.0113060000003</v>
      </c>
      <c r="M8" s="15">
        <f>A4.4.2!M8+A4.4.3!M8</f>
        <v>22896.059992000002</v>
      </c>
      <c r="N8" s="16">
        <f>A4.4.2!N8+A4.4.3!N8</f>
        <v>-21320.890992000001</v>
      </c>
      <c r="O8" s="17">
        <f>A4.4.2!O8+A4.4.3!O8</f>
        <v>1575.1690000000026</v>
      </c>
      <c r="Q8" s="73"/>
    </row>
    <row r="9" spans="1:35" ht="13.35" customHeight="1">
      <c r="A9" s="13"/>
      <c r="B9" s="14" t="s">
        <v>64</v>
      </c>
      <c r="C9" s="14"/>
      <c r="D9" s="15">
        <f>A4.4.2!D9+A4.4.3!D9</f>
        <v>2732.9213979999995</v>
      </c>
      <c r="E9" s="16">
        <f>A4.4.2!E9+A4.4.3!E9</f>
        <v>-2120.9633450000001</v>
      </c>
      <c r="F9" s="16">
        <f>A4.4.2!F9+A4.4.3!F9</f>
        <v>611.95805299999961</v>
      </c>
      <c r="G9" s="15">
        <f>A4.4.2!G9+A4.4.3!G9</f>
        <v>2974.4302960000005</v>
      </c>
      <c r="H9" s="16">
        <f>A4.4.2!H9+A4.4.3!H9</f>
        <v>-2401.9898700000003</v>
      </c>
      <c r="I9" s="16">
        <f>A4.4.2!I9+A4.4.3!I9</f>
        <v>572.44042600000012</v>
      </c>
      <c r="J9" s="15">
        <f>A4.4.2!J9+A4.4.3!J9</f>
        <v>3059.3185519999997</v>
      </c>
      <c r="K9" s="16">
        <f>A4.4.2!K9+A4.4.3!K9</f>
        <v>-2379.8662669999999</v>
      </c>
      <c r="L9" s="16">
        <f>A4.4.2!L9+A4.4.3!L9</f>
        <v>679.45228499999985</v>
      </c>
      <c r="M9" s="15">
        <f>A4.4.2!M9+A4.4.3!M9</f>
        <v>3456.4114030000001</v>
      </c>
      <c r="N9" s="16">
        <f>A4.4.2!N9+A4.4.3!N9</f>
        <v>-2742.563678</v>
      </c>
      <c r="O9" s="17">
        <f>A4.4.2!O9+A4.4.3!O9</f>
        <v>713.84772499999985</v>
      </c>
      <c r="Q9" s="73"/>
    </row>
    <row r="10" spans="1:35" ht="13.35" customHeight="1">
      <c r="A10" s="13"/>
      <c r="B10" s="14" t="s">
        <v>84</v>
      </c>
      <c r="C10" s="14"/>
      <c r="D10" s="15">
        <f>A4.4.2!D10+A4.4.3!D10</f>
        <v>10321.758551000001</v>
      </c>
      <c r="E10" s="16">
        <f>A4.4.2!E10+A4.4.3!E10</f>
        <v>-10572.754618999999</v>
      </c>
      <c r="F10" s="16">
        <f>A4.4.2!F10+A4.4.3!F10</f>
        <v>-250.99606799999947</v>
      </c>
      <c r="G10" s="15">
        <f>A4.4.2!G10+A4.4.3!G10</f>
        <v>14639.993633</v>
      </c>
      <c r="H10" s="16">
        <f>A4.4.2!H10+A4.4.3!H10</f>
        <v>-13633.8298</v>
      </c>
      <c r="I10" s="16">
        <f>A4.4.2!I10+A4.4.3!I10</f>
        <v>1006.1638330000005</v>
      </c>
      <c r="J10" s="15">
        <f>A4.4.2!J10+A4.4.3!J10</f>
        <v>10708.690863</v>
      </c>
      <c r="K10" s="16">
        <f>A4.4.2!K10+A4.4.3!K10</f>
        <v>-11374.446526</v>
      </c>
      <c r="L10" s="16">
        <f>A4.4.2!L10+A4.4.3!L10</f>
        <v>-665.75566300000082</v>
      </c>
      <c r="M10" s="15">
        <f>A4.4.2!M10+A4.4.3!M10</f>
        <v>11996.444964999999</v>
      </c>
      <c r="N10" s="16">
        <f>A4.4.2!N10+A4.4.3!N10</f>
        <v>-13121.333938</v>
      </c>
      <c r="O10" s="17">
        <f>A4.4.2!O10+A4.4.3!O10</f>
        <v>-1124.8889730000019</v>
      </c>
      <c r="Q10" s="73"/>
    </row>
    <row r="11" spans="1:35" s="29" customFormat="1" ht="13.35" customHeight="1">
      <c r="A11" s="27"/>
      <c r="B11" s="28" t="s">
        <v>1</v>
      </c>
      <c r="C11" s="28"/>
      <c r="D11" s="15">
        <f>A4.4.2!D11+A4.4.3!D11</f>
        <v>38366.531343999995</v>
      </c>
      <c r="E11" s="16">
        <f>A4.4.2!E11+A4.4.3!E11</f>
        <v>-30407.134174999999</v>
      </c>
      <c r="F11" s="16">
        <f>A4.4.2!F11+A4.4.3!F11</f>
        <v>7959.3971689999971</v>
      </c>
      <c r="G11" s="15">
        <f>A4.4.2!G11+A4.4.3!G11</f>
        <v>47148.388536999999</v>
      </c>
      <c r="H11" s="16">
        <f>A4.4.2!H11+A4.4.3!H11</f>
        <v>-37370.066459000001</v>
      </c>
      <c r="I11" s="16">
        <f>A4.4.2!I11+A4.4.3!I11</f>
        <v>9778.3220780000011</v>
      </c>
      <c r="J11" s="15">
        <f>A4.4.2!J11+A4.4.3!J11</f>
        <v>44067.947908999995</v>
      </c>
      <c r="K11" s="16">
        <f>A4.4.2!K11+A4.4.3!K11</f>
        <v>-34489.457540999996</v>
      </c>
      <c r="L11" s="16">
        <f>A4.4.2!L11+A4.4.3!L11</f>
        <v>9578.4903679999952</v>
      </c>
      <c r="M11" s="15">
        <f>A4.4.2!M11+A4.4.3!M11</f>
        <v>41733.569579000003</v>
      </c>
      <c r="N11" s="16">
        <f>A4.4.2!N11+A4.4.3!N11</f>
        <v>-32286.434451000001</v>
      </c>
      <c r="O11" s="17">
        <f>A4.4.2!O11+A4.4.3!O11</f>
        <v>9447.1351280000017</v>
      </c>
      <c r="Q11" s="73"/>
    </row>
    <row r="12" spans="1:35" s="29" customFormat="1" ht="13.35" customHeight="1">
      <c r="A12" s="27"/>
      <c r="B12" s="28" t="s">
        <v>65</v>
      </c>
      <c r="C12" s="28"/>
      <c r="D12" s="15">
        <f>A4.4.2!D12+A4.4.3!D12</f>
        <v>940.72980600000005</v>
      </c>
      <c r="E12" s="16">
        <f>A4.4.2!E12+A4.4.3!E12</f>
        <v>-731.04461700000002</v>
      </c>
      <c r="F12" s="16">
        <f>A4.4.2!F12+A4.4.3!F12</f>
        <v>209.68518899999998</v>
      </c>
      <c r="G12" s="15">
        <f>A4.4.2!G12+A4.4.3!G12</f>
        <v>1098.012477</v>
      </c>
      <c r="H12" s="16">
        <f>A4.4.2!H12+A4.4.3!H12</f>
        <v>-851.13200499999994</v>
      </c>
      <c r="I12" s="16">
        <f>A4.4.2!I12+A4.4.3!I12</f>
        <v>246.880472</v>
      </c>
      <c r="J12" s="15">
        <f>A4.4.2!J12+A4.4.3!J12</f>
        <v>1058.2477260000001</v>
      </c>
      <c r="K12" s="16">
        <f>A4.4.2!K12+A4.4.3!K12</f>
        <v>-857.68233699999996</v>
      </c>
      <c r="L12" s="16">
        <f>A4.4.2!L12+A4.4.3!L12</f>
        <v>200.56538899999998</v>
      </c>
      <c r="M12" s="15">
        <f>A4.4.2!M12+A4.4.3!M12</f>
        <v>1080.1086479999999</v>
      </c>
      <c r="N12" s="16">
        <f>A4.4.2!N12+A4.4.3!N12</f>
        <v>-930.29281399999991</v>
      </c>
      <c r="O12" s="17">
        <f>A4.4.2!O12+A4.4.3!O12</f>
        <v>149.815834</v>
      </c>
      <c r="Q12" s="73"/>
    </row>
    <row r="13" spans="1:35" s="29" customFormat="1" ht="13.35" customHeight="1">
      <c r="A13" s="27"/>
      <c r="B13" s="30" t="s">
        <v>85</v>
      </c>
      <c r="C13" s="30"/>
      <c r="D13" s="15">
        <f>A4.4.2!D13+A4.4.3!D13</f>
        <v>3916.9051209999998</v>
      </c>
      <c r="E13" s="16">
        <f>A4.4.2!E13+A4.4.3!E13</f>
        <v>-3359.3249750000004</v>
      </c>
      <c r="F13" s="16">
        <f>A4.4.2!F13+A4.4.3!F13</f>
        <v>557.58014599999967</v>
      </c>
      <c r="G13" s="15">
        <f>A4.4.2!G13+A4.4.3!G13</f>
        <v>5127.3767850000004</v>
      </c>
      <c r="H13" s="16">
        <f>A4.4.2!H13+A4.4.3!H13</f>
        <v>-4197.981315</v>
      </c>
      <c r="I13" s="16">
        <f>A4.4.2!I13+A4.4.3!I13</f>
        <v>929.39546999999982</v>
      </c>
      <c r="J13" s="15">
        <f>A4.4.2!J13+A4.4.3!J13</f>
        <v>5464.5549590000001</v>
      </c>
      <c r="K13" s="16">
        <f>A4.4.2!K13+A4.4.3!K13</f>
        <v>-4205.8439109999999</v>
      </c>
      <c r="L13" s="16">
        <f>A4.4.2!L13+A4.4.3!L13</f>
        <v>1258.7110479999997</v>
      </c>
      <c r="M13" s="15">
        <f>A4.4.2!M13+A4.4.3!M13</f>
        <v>6372.2222249999995</v>
      </c>
      <c r="N13" s="16">
        <f>A4.4.2!N13+A4.4.3!N13</f>
        <v>-4855.2184809999999</v>
      </c>
      <c r="O13" s="17">
        <f>A4.4.2!O13+A4.4.3!O13</f>
        <v>1517.0037439999996</v>
      </c>
      <c r="Q13" s="73"/>
    </row>
    <row r="14" spans="1:35" s="29" customFormat="1" ht="13.35" customHeight="1">
      <c r="A14" s="27"/>
      <c r="B14" s="30" t="s">
        <v>86</v>
      </c>
      <c r="C14" s="30"/>
      <c r="D14" s="15">
        <f>A4.4.2!D14+A4.4.3!D14</f>
        <v>172284.31907400003</v>
      </c>
      <c r="E14" s="16">
        <f>A4.4.2!E14+A4.4.3!E14</f>
        <v>-139995.22242999999</v>
      </c>
      <c r="F14" s="16">
        <f>A4.4.2!F14+A4.4.3!F14</f>
        <v>32289.096644000019</v>
      </c>
      <c r="G14" s="15">
        <f>A4.4.2!G14+A4.4.3!G14</f>
        <v>197219.61742799997</v>
      </c>
      <c r="H14" s="16">
        <f>A4.4.2!H14+A4.4.3!H14</f>
        <v>-161883.32268700001</v>
      </c>
      <c r="I14" s="16">
        <f>A4.4.2!I14+A4.4.3!I14</f>
        <v>35336.294740999983</v>
      </c>
      <c r="J14" s="15">
        <f>A4.4.2!J14+A4.4.3!J14</f>
        <v>195914.39201700001</v>
      </c>
      <c r="K14" s="16">
        <f>A4.4.2!K14+A4.4.3!K14</f>
        <v>-153922.56567400001</v>
      </c>
      <c r="L14" s="16">
        <f>A4.4.2!L14+A4.4.3!L14</f>
        <v>41991.826343000008</v>
      </c>
      <c r="M14" s="15">
        <f>A4.4.2!M14+A4.4.3!M14</f>
        <v>213214.80032400001</v>
      </c>
      <c r="N14" s="16">
        <f>A4.4.2!N14+A4.4.3!N14</f>
        <v>-164518.655375</v>
      </c>
      <c r="O14" s="17">
        <f>A4.4.2!O14+A4.4.3!O14</f>
        <v>48696.144949000016</v>
      </c>
      <c r="Q14" s="73"/>
    </row>
    <row r="15" spans="1:35" s="29" customFormat="1" ht="13.35" customHeight="1">
      <c r="A15" s="27"/>
      <c r="B15" s="30" t="s">
        <v>66</v>
      </c>
      <c r="C15" s="30"/>
      <c r="D15" s="15">
        <f>A4.4.2!D15+A4.4.3!D15</f>
        <v>22568.611376000001</v>
      </c>
      <c r="E15" s="16">
        <f>A4.4.2!E15+A4.4.3!E15</f>
        <v>-17775.678635</v>
      </c>
      <c r="F15" s="16">
        <f>A4.4.2!F15+A4.4.3!F15</f>
        <v>4792.9327409999987</v>
      </c>
      <c r="G15" s="15">
        <f>A4.4.2!G15+A4.4.3!G15</f>
        <v>27284.954831999996</v>
      </c>
      <c r="H15" s="16">
        <f>A4.4.2!H15+A4.4.3!H15</f>
        <v>-22990.021848</v>
      </c>
      <c r="I15" s="16">
        <f>A4.4.2!I15+A4.4.3!I15</f>
        <v>4294.9329839999973</v>
      </c>
      <c r="J15" s="15">
        <f>A4.4.2!J15+A4.4.3!J15</f>
        <v>27453.217678999998</v>
      </c>
      <c r="K15" s="16">
        <f>A4.4.2!K15+A4.4.3!K15</f>
        <v>-21975.646990000001</v>
      </c>
      <c r="L15" s="16">
        <f>A4.4.2!L15+A4.4.3!L15</f>
        <v>5477.5706889999992</v>
      </c>
      <c r="M15" s="15">
        <f>A4.4.2!M15+A4.4.3!M15</f>
        <v>28579.208567000001</v>
      </c>
      <c r="N15" s="16">
        <f>A4.4.2!N15+A4.4.3!N15</f>
        <v>-22673.629204999997</v>
      </c>
      <c r="O15" s="17">
        <f>A4.4.2!O15+A4.4.3!O15</f>
        <v>5905.5793620000004</v>
      </c>
      <c r="Q15" s="73"/>
    </row>
    <row r="16" spans="1:35" s="29" customFormat="1" ht="13.35" customHeight="1">
      <c r="A16" s="27"/>
      <c r="B16" s="30" t="s">
        <v>87</v>
      </c>
      <c r="C16" s="30"/>
      <c r="D16" s="15">
        <f>A4.4.2!D16+A4.4.3!D16</f>
        <v>613.09123999999997</v>
      </c>
      <c r="E16" s="16">
        <f>A4.4.2!E16+A4.4.3!E16</f>
        <v>-616.77219300000002</v>
      </c>
      <c r="F16" s="16">
        <f>A4.4.2!F16+A4.4.3!F16</f>
        <v>-3.680953000000045</v>
      </c>
      <c r="G16" s="15">
        <f>A4.4.2!G16+A4.4.3!G16</f>
        <v>558.31489800000008</v>
      </c>
      <c r="H16" s="16">
        <f>A4.4.2!H16+A4.4.3!H16</f>
        <v>-547.21523999999999</v>
      </c>
      <c r="I16" s="16">
        <f>A4.4.2!I16+A4.4.3!I16</f>
        <v>11.099658000000005</v>
      </c>
      <c r="J16" s="15">
        <f>A4.4.2!J16+A4.4.3!J16</f>
        <v>518.755449</v>
      </c>
      <c r="K16" s="16">
        <f>A4.4.2!K16+A4.4.3!K16</f>
        <v>-459.95390799999996</v>
      </c>
      <c r="L16" s="16">
        <f>A4.4.2!L16+A4.4.3!L16</f>
        <v>58.801541000000057</v>
      </c>
      <c r="M16" s="15">
        <f>A4.4.2!M16+A4.4.3!M16</f>
        <v>549.16664300000002</v>
      </c>
      <c r="N16" s="16">
        <f>A4.4.2!N16+A4.4.3!N16</f>
        <v>-510.084093</v>
      </c>
      <c r="O16" s="17">
        <f>A4.4.2!O16+A4.4.3!O16</f>
        <v>39.082549999999983</v>
      </c>
      <c r="Q16" s="73"/>
    </row>
    <row r="17" spans="1:17" s="29" customFormat="1" ht="13.35" customHeight="1">
      <c r="A17" s="27"/>
      <c r="B17" s="30" t="s">
        <v>67</v>
      </c>
      <c r="C17" s="30"/>
      <c r="D17" s="15">
        <f>A4.4.2!D17+A4.4.3!D17</f>
        <v>21432.911634</v>
      </c>
      <c r="E17" s="16">
        <f>A4.4.2!E17+A4.4.3!E17</f>
        <v>-18921.401927999999</v>
      </c>
      <c r="F17" s="16">
        <f>A4.4.2!F17+A4.4.3!F17</f>
        <v>2511.5097060000007</v>
      </c>
      <c r="G17" s="15">
        <f>A4.4.2!G17+A4.4.3!G17</f>
        <v>25958.249818999997</v>
      </c>
      <c r="H17" s="16">
        <f>A4.4.2!H17+A4.4.3!H17</f>
        <v>-22890.580266999998</v>
      </c>
      <c r="I17" s="16">
        <f>A4.4.2!I17+A4.4.3!I17</f>
        <v>3067.6695519999994</v>
      </c>
      <c r="J17" s="15">
        <f>A4.4.2!J17+A4.4.3!J17</f>
        <v>22884.183721999998</v>
      </c>
      <c r="K17" s="16">
        <f>A4.4.2!K17+A4.4.3!K17</f>
        <v>-17518.602876000001</v>
      </c>
      <c r="L17" s="16">
        <f>A4.4.2!L17+A4.4.3!L17</f>
        <v>5365.5808459999989</v>
      </c>
      <c r="M17" s="15">
        <f>A4.4.2!M17+A4.4.3!M17</f>
        <v>24398.404903999999</v>
      </c>
      <c r="N17" s="16">
        <f>A4.4.2!N17+A4.4.3!N17</f>
        <v>-19552.411093999999</v>
      </c>
      <c r="O17" s="17">
        <f>A4.4.2!O17+A4.4.3!O17</f>
        <v>4845.9938099999981</v>
      </c>
      <c r="Q17" s="73"/>
    </row>
    <row r="18" spans="1:17" s="29" customFormat="1" ht="13.35" customHeight="1">
      <c r="A18" s="27"/>
      <c r="B18" s="30" t="s">
        <v>88</v>
      </c>
      <c r="C18" s="30"/>
      <c r="D18" s="15">
        <f>A4.4.2!D18+A4.4.3!D18</f>
        <v>8703.3260139999984</v>
      </c>
      <c r="E18" s="16">
        <f>A4.4.2!E18+A4.4.3!E18</f>
        <v>-4884.1802040000002</v>
      </c>
      <c r="F18" s="16">
        <f>A4.4.2!F18+A4.4.3!F18</f>
        <v>3819.1458099999986</v>
      </c>
      <c r="G18" s="15">
        <f>A4.4.2!G18+A4.4.3!G18</f>
        <v>9945.6159509999998</v>
      </c>
      <c r="H18" s="16">
        <f>A4.4.2!H18+A4.4.3!H18</f>
        <v>-5724.4250910000001</v>
      </c>
      <c r="I18" s="16">
        <f>A4.4.2!I18+A4.4.3!I18</f>
        <v>4221.1908600000006</v>
      </c>
      <c r="J18" s="15">
        <f>A4.4.2!J18+A4.4.3!J18</f>
        <v>11086.053059</v>
      </c>
      <c r="K18" s="16">
        <f>A4.4.2!K18+A4.4.3!K18</f>
        <v>-6138.4369900000002</v>
      </c>
      <c r="L18" s="16">
        <f>A4.4.2!L18+A4.4.3!L18</f>
        <v>4947.6160689999997</v>
      </c>
      <c r="M18" s="15">
        <f>A4.4.2!M18+A4.4.3!M18</f>
        <v>11980.673024</v>
      </c>
      <c r="N18" s="16">
        <f>A4.4.2!N18+A4.4.3!N18</f>
        <v>-6537.0970040000011</v>
      </c>
      <c r="O18" s="17">
        <f>A4.4.2!O18+A4.4.3!O18</f>
        <v>5443.5760199999986</v>
      </c>
      <c r="Q18" s="73"/>
    </row>
    <row r="19" spans="1:17" s="29" customFormat="1" ht="13.35" customHeight="1">
      <c r="A19" s="27"/>
      <c r="B19" s="30" t="s">
        <v>139</v>
      </c>
      <c r="C19" s="30"/>
      <c r="D19" s="15">
        <f>A4.4.2!D19+A4.4.3!D19</f>
        <v>22262.030073999998</v>
      </c>
      <c r="E19" s="16">
        <f>A4.4.2!E19+A4.4.3!E19</f>
        <v>-23741.425824999998</v>
      </c>
      <c r="F19" s="16">
        <f>A4.4.2!F19+A4.4.3!F19</f>
        <v>-1479.3957510000018</v>
      </c>
      <c r="G19" s="15">
        <f>A4.4.2!G19+A4.4.3!G19</f>
        <v>27251.466401999998</v>
      </c>
      <c r="H19" s="16">
        <f>A4.4.2!H19+A4.4.3!H19</f>
        <v>-28642.588385999999</v>
      </c>
      <c r="I19" s="16">
        <f>A4.4.2!I19+A4.4.3!I19</f>
        <v>-1391.1219840000031</v>
      </c>
      <c r="J19" s="15">
        <f>A4.4.2!J19+A4.4.3!J19</f>
        <v>20484.931790000002</v>
      </c>
      <c r="K19" s="16">
        <f>A4.4.2!K19+A4.4.3!K19</f>
        <v>-20774.372546999999</v>
      </c>
      <c r="L19" s="16">
        <f>A4.4.2!L19+A4.4.3!L19</f>
        <v>-289.4407570000003</v>
      </c>
      <c r="M19" s="15">
        <f>A4.4.2!M19+A4.4.3!M19</f>
        <v>21648.684291999998</v>
      </c>
      <c r="N19" s="16">
        <f>A4.4.2!N19+A4.4.3!N19</f>
        <v>-22512.992770000001</v>
      </c>
      <c r="O19" s="17">
        <f>A4.4.2!O19+A4.4.3!O19</f>
        <v>-864.30847800000174</v>
      </c>
      <c r="Q19" s="73"/>
    </row>
    <row r="20" spans="1:17" s="29" customFormat="1" ht="13.35" customHeight="1">
      <c r="A20" s="27"/>
      <c r="B20" s="30" t="s">
        <v>68</v>
      </c>
      <c r="C20" s="30"/>
      <c r="D20" s="15">
        <f>A4.4.2!D20+A4.4.3!D20</f>
        <v>28803.823478999999</v>
      </c>
      <c r="E20" s="16">
        <f>A4.4.2!E20+A4.4.3!E20</f>
        <v>-41616.078144999999</v>
      </c>
      <c r="F20" s="16">
        <f>A4.4.2!F20+A4.4.3!F20</f>
        <v>-12812.254666000003</v>
      </c>
      <c r="G20" s="15">
        <f>A4.4.2!G20+A4.4.3!G20</f>
        <v>37275.600064999999</v>
      </c>
      <c r="H20" s="16">
        <f>A4.4.2!H20+A4.4.3!H20</f>
        <v>-53418.172168000005</v>
      </c>
      <c r="I20" s="16">
        <f>A4.4.2!I20+A4.4.3!I20</f>
        <v>-16142.572103000004</v>
      </c>
      <c r="J20" s="15">
        <f>A4.4.2!J20+A4.4.3!J20</f>
        <v>29539.774040999997</v>
      </c>
      <c r="K20" s="16">
        <f>A4.4.2!K20+A4.4.3!K20</f>
        <v>-46011.678195</v>
      </c>
      <c r="L20" s="16">
        <f>A4.4.2!L20+A4.4.3!L20</f>
        <v>-16471.904154000003</v>
      </c>
      <c r="M20" s="15">
        <f>A4.4.2!M20+A4.4.3!M20</f>
        <v>36087.582544999997</v>
      </c>
      <c r="N20" s="16">
        <f>A4.4.2!N20+A4.4.3!N20</f>
        <v>-54875.232329000006</v>
      </c>
      <c r="O20" s="17">
        <f>A4.4.2!O20+A4.4.3!O20</f>
        <v>-18787.649784000001</v>
      </c>
      <c r="Q20" s="73"/>
    </row>
    <row r="21" spans="1:17" s="29" customFormat="1" ht="13.35" customHeight="1">
      <c r="A21" s="27"/>
      <c r="B21" s="30" t="s">
        <v>69</v>
      </c>
      <c r="C21" s="30"/>
      <c r="D21" s="15">
        <f>A4.4.2!D21+A4.4.3!D21</f>
        <v>4798.7125550000001</v>
      </c>
      <c r="E21" s="16">
        <f>A4.4.2!E21+A4.4.3!E21</f>
        <v>-5352.0931340000006</v>
      </c>
      <c r="F21" s="16">
        <f>A4.4.2!F21+A4.4.3!F21</f>
        <v>-553.38057900000058</v>
      </c>
      <c r="G21" s="15">
        <f>A4.4.2!G21+A4.4.3!G21</f>
        <v>5489.2051269999993</v>
      </c>
      <c r="H21" s="16">
        <f>A4.4.2!H21+A4.4.3!H21</f>
        <v>-6110.2332329999999</v>
      </c>
      <c r="I21" s="16">
        <f>A4.4.2!I21+A4.4.3!I21</f>
        <v>-621.02810600000043</v>
      </c>
      <c r="J21" s="15">
        <f>A4.4.2!J21+A4.4.3!J21</f>
        <v>5350.7320110000001</v>
      </c>
      <c r="K21" s="16">
        <f>A4.4.2!K21+A4.4.3!K21</f>
        <v>-5241.9412430000002</v>
      </c>
      <c r="L21" s="16">
        <f>A4.4.2!L21+A4.4.3!L21</f>
        <v>108.79076799999984</v>
      </c>
      <c r="M21" s="15">
        <f>A4.4.2!M21+A4.4.3!M21</f>
        <v>5996.6388669999997</v>
      </c>
      <c r="N21" s="16">
        <f>A4.4.2!N21+A4.4.3!N21</f>
        <v>-6015.7740699999995</v>
      </c>
      <c r="O21" s="17">
        <f>A4.4.2!O21+A4.4.3!O21</f>
        <v>-19.135203000000047</v>
      </c>
      <c r="Q21" s="73"/>
    </row>
    <row r="22" spans="1:17" s="29" customFormat="1" ht="13.35" customHeight="1">
      <c r="A22" s="27"/>
      <c r="B22" s="30" t="s">
        <v>70</v>
      </c>
      <c r="C22" s="30"/>
      <c r="D22" s="15">
        <f>A4.4.2!D22+A4.4.3!D22</f>
        <v>8382.1702459999997</v>
      </c>
      <c r="E22" s="16">
        <f>A4.4.2!E22+A4.4.3!E22</f>
        <v>-6987.3011319999996</v>
      </c>
      <c r="F22" s="16">
        <f>A4.4.2!F22+A4.4.3!F22</f>
        <v>1394.8691139999999</v>
      </c>
      <c r="G22" s="15">
        <f>A4.4.2!G22+A4.4.3!G22</f>
        <v>9359.7909419999996</v>
      </c>
      <c r="H22" s="16">
        <f>A4.4.2!H22+A4.4.3!H22</f>
        <v>-7891.4291330000005</v>
      </c>
      <c r="I22" s="16">
        <f>A4.4.2!I22+A4.4.3!I22</f>
        <v>1468.3618089999993</v>
      </c>
      <c r="J22" s="15">
        <f>A4.4.2!J22+A4.4.3!J22</f>
        <v>9423.7116580000002</v>
      </c>
      <c r="K22" s="16">
        <f>A4.4.2!K22+A4.4.3!K22</f>
        <v>-7492.2497269999994</v>
      </c>
      <c r="L22" s="16">
        <f>A4.4.2!L22+A4.4.3!L22</f>
        <v>1931.4619310000012</v>
      </c>
      <c r="M22" s="15">
        <f>A4.4.2!M22+A4.4.3!M22</f>
        <v>10005.623401000001</v>
      </c>
      <c r="N22" s="16">
        <f>A4.4.2!N22+A4.4.3!N22</f>
        <v>-7919.5225369999998</v>
      </c>
      <c r="O22" s="17">
        <f>A4.4.2!O22+A4.4.3!O22</f>
        <v>2086.1008640000005</v>
      </c>
      <c r="Q22" s="73"/>
    </row>
    <row r="23" spans="1:17" s="29" customFormat="1" ht="13.35" customHeight="1">
      <c r="A23" s="27"/>
      <c r="B23" s="30" t="s">
        <v>71</v>
      </c>
      <c r="C23" s="30"/>
      <c r="D23" s="15">
        <f>A4.4.2!D23+A4.4.3!D23</f>
        <v>1253.665782</v>
      </c>
      <c r="E23" s="16">
        <f>A4.4.2!E23+A4.4.3!E23</f>
        <v>-781.85359600000004</v>
      </c>
      <c r="F23" s="16">
        <f>A4.4.2!F23+A4.4.3!F23</f>
        <v>471.81218600000011</v>
      </c>
      <c r="G23" s="15">
        <f>A4.4.2!G23+A4.4.3!G23</f>
        <v>1441.391243</v>
      </c>
      <c r="H23" s="16">
        <f>A4.4.2!H23+A4.4.3!H23</f>
        <v>-901.16557099999989</v>
      </c>
      <c r="I23" s="16">
        <f>A4.4.2!I23+A4.4.3!I23</f>
        <v>540.22567200000003</v>
      </c>
      <c r="J23" s="15">
        <f>A4.4.2!J23+A4.4.3!J23</f>
        <v>1480.930247</v>
      </c>
      <c r="K23" s="16">
        <f>A4.4.2!K23+A4.4.3!K23</f>
        <v>-907.94181499999991</v>
      </c>
      <c r="L23" s="16">
        <f>A4.4.2!L23+A4.4.3!L23</f>
        <v>572.9884320000001</v>
      </c>
      <c r="M23" s="15">
        <f>A4.4.2!M23+A4.4.3!M23</f>
        <v>1570.76359</v>
      </c>
      <c r="N23" s="16">
        <f>A4.4.2!N23+A4.4.3!N23</f>
        <v>-958.55967299999998</v>
      </c>
      <c r="O23" s="17">
        <f>A4.4.2!O23+A4.4.3!O23</f>
        <v>612.20391700000005</v>
      </c>
      <c r="Q23" s="73"/>
    </row>
    <row r="24" spans="1:17" s="29" customFormat="1" ht="13.35" customHeight="1">
      <c r="A24" s="27"/>
      <c r="B24" s="30" t="s">
        <v>103</v>
      </c>
      <c r="C24" s="30"/>
      <c r="D24" s="15">
        <f>A4.4.2!D24+A4.4.3!D24</f>
        <v>8148.546421</v>
      </c>
      <c r="E24" s="16">
        <f>A4.4.2!E24+A4.4.3!E24</f>
        <v>-9089.186713000001</v>
      </c>
      <c r="F24" s="16">
        <f>A4.4.2!F24+A4.4.3!F24</f>
        <v>-940.64029200000004</v>
      </c>
      <c r="G24" s="15">
        <f>A4.4.2!G24+A4.4.3!G24</f>
        <v>6831.0130820000004</v>
      </c>
      <c r="H24" s="16">
        <f>A4.4.2!H24+A4.4.3!H24</f>
        <v>-11649.205658999999</v>
      </c>
      <c r="I24" s="16">
        <f>A4.4.2!I24+A4.4.3!I24</f>
        <v>-4818.1925769999998</v>
      </c>
      <c r="J24" s="15">
        <f>A4.4.2!J24+A4.4.3!J24</f>
        <v>8395.6208650000008</v>
      </c>
      <c r="K24" s="16">
        <f>A4.4.2!K24+A4.4.3!K24</f>
        <v>-13829.595740000001</v>
      </c>
      <c r="L24" s="16">
        <f>A4.4.2!L24+A4.4.3!L24</f>
        <v>-5433.9748750000008</v>
      </c>
      <c r="M24" s="15">
        <f>A4.4.2!M24+A4.4.3!M24</f>
        <v>10412.844342</v>
      </c>
      <c r="N24" s="16">
        <f>A4.4.2!N24+A4.4.3!N24</f>
        <v>-14990.060277</v>
      </c>
      <c r="O24" s="17">
        <f>A4.4.2!O24+A4.4.3!O24</f>
        <v>-4577.2159350000002</v>
      </c>
      <c r="Q24" s="73"/>
    </row>
    <row r="25" spans="1:17" s="29" customFormat="1" ht="13.35" customHeight="1">
      <c r="A25" s="27"/>
      <c r="B25" s="30" t="s">
        <v>89</v>
      </c>
      <c r="C25" s="30"/>
      <c r="D25" s="15">
        <f>A4.4.2!D25+A4.4.3!D25</f>
        <v>4215.5668670000005</v>
      </c>
      <c r="E25" s="16">
        <f>A4.4.2!E25+A4.4.3!E25</f>
        <v>-2854.6396370000002</v>
      </c>
      <c r="F25" s="16">
        <f>A4.4.2!F25+A4.4.3!F25</f>
        <v>1360.9272300000002</v>
      </c>
      <c r="G25" s="15">
        <f>A4.4.2!G25+A4.4.3!G25</f>
        <v>4790.6748390000002</v>
      </c>
      <c r="H25" s="16">
        <f>A4.4.2!H25+A4.4.3!H25</f>
        <v>-3241.8653340000001</v>
      </c>
      <c r="I25" s="16">
        <f>A4.4.2!I25+A4.4.3!I25</f>
        <v>1548.8095050000002</v>
      </c>
      <c r="J25" s="15">
        <f>A4.4.2!J25+A4.4.3!J25</f>
        <v>5379.456964</v>
      </c>
      <c r="K25" s="16">
        <f>A4.4.2!K25+A4.4.3!K25</f>
        <v>-3666.8698160000004</v>
      </c>
      <c r="L25" s="16">
        <f>A4.4.2!L25+A4.4.3!L25</f>
        <v>1712.5871480000001</v>
      </c>
      <c r="M25" s="15">
        <f>A4.4.2!M25+A4.4.3!M25</f>
        <v>6014.3116399999999</v>
      </c>
      <c r="N25" s="16">
        <f>A4.4.2!N25+A4.4.3!N25</f>
        <v>-4195.2466979999999</v>
      </c>
      <c r="O25" s="17">
        <f>A4.4.2!O25+A4.4.3!O25</f>
        <v>1819.0649420000002</v>
      </c>
      <c r="Q25" s="73"/>
    </row>
    <row r="26" spans="1:17" s="29" customFormat="1" ht="13.35" customHeight="1">
      <c r="A26" s="27"/>
      <c r="B26" s="30" t="s">
        <v>72</v>
      </c>
      <c r="C26" s="30"/>
      <c r="D26" s="15">
        <f>A4.4.2!D26+A4.4.3!D26</f>
        <v>779.55746999999997</v>
      </c>
      <c r="E26" s="16">
        <f>A4.4.2!E26+A4.4.3!E26</f>
        <v>-496.23543500000005</v>
      </c>
      <c r="F26" s="16">
        <f>A4.4.2!F26+A4.4.3!F26</f>
        <v>283.32203499999991</v>
      </c>
      <c r="G26" s="15">
        <f>A4.4.2!G26+A4.4.3!G26</f>
        <v>964.67836399999987</v>
      </c>
      <c r="H26" s="16">
        <f>A4.4.2!H26+A4.4.3!H26</f>
        <v>-698.10735599999998</v>
      </c>
      <c r="I26" s="16">
        <f>A4.4.2!I26+A4.4.3!I26</f>
        <v>266.57100800000001</v>
      </c>
      <c r="J26" s="15">
        <f>A4.4.2!J26+A4.4.3!J26</f>
        <v>802.38741900000002</v>
      </c>
      <c r="K26" s="16">
        <f>A4.4.2!K26+A4.4.3!K26</f>
        <v>-539.15869200000009</v>
      </c>
      <c r="L26" s="16">
        <f>A4.4.2!L26+A4.4.3!L26</f>
        <v>263.22872699999999</v>
      </c>
      <c r="M26" s="15">
        <f>A4.4.2!M26+A4.4.3!M26</f>
        <v>863.45633500000008</v>
      </c>
      <c r="N26" s="16">
        <f>A4.4.2!N26+A4.4.3!N26</f>
        <v>-556.577315</v>
      </c>
      <c r="O26" s="17">
        <f>A4.4.2!O26+A4.4.3!O26</f>
        <v>306.87902000000008</v>
      </c>
      <c r="Q26" s="73"/>
    </row>
    <row r="27" spans="1:17" s="29" customFormat="1" ht="13.35" customHeight="1">
      <c r="A27" s="27"/>
      <c r="B27" s="30" t="s">
        <v>73</v>
      </c>
      <c r="C27" s="30"/>
      <c r="D27" s="15">
        <f>A4.4.2!D27+A4.4.3!D27</f>
        <v>81142.608575999999</v>
      </c>
      <c r="E27" s="16">
        <f>A4.4.2!E27+A4.4.3!E27</f>
        <v>-74388.990485000002</v>
      </c>
      <c r="F27" s="16">
        <f>A4.4.2!F27+A4.4.3!F27</f>
        <v>6753.6180909999985</v>
      </c>
      <c r="G27" s="15">
        <f>A4.4.2!G27+A4.4.3!G27</f>
        <v>88925.884765999988</v>
      </c>
      <c r="H27" s="16">
        <f>A4.4.2!H27+A4.4.3!H27</f>
        <v>-82521.535457000005</v>
      </c>
      <c r="I27" s="16">
        <f>A4.4.2!I27+A4.4.3!I27</f>
        <v>6404.3493089999865</v>
      </c>
      <c r="J27" s="15">
        <f>A4.4.2!J27+A4.4.3!J27</f>
        <v>90271.748838</v>
      </c>
      <c r="K27" s="16">
        <f>A4.4.2!K27+A4.4.3!K27</f>
        <v>-82191.208402000004</v>
      </c>
      <c r="L27" s="16">
        <f>A4.4.2!L27+A4.4.3!L27</f>
        <v>8080.5404359999993</v>
      </c>
      <c r="M27" s="15">
        <f>A4.4.2!M27+A4.4.3!M27</f>
        <v>103520.82449</v>
      </c>
      <c r="N27" s="16">
        <f>A4.4.2!N27+A4.4.3!N27</f>
        <v>-94056.580144000007</v>
      </c>
      <c r="O27" s="17">
        <f>A4.4.2!O27+A4.4.3!O27</f>
        <v>9464.2443459999995</v>
      </c>
      <c r="Q27" s="73"/>
    </row>
    <row r="28" spans="1:17" s="29" customFormat="1" ht="13.35" customHeight="1">
      <c r="A28" s="27"/>
      <c r="B28" s="30" t="s">
        <v>74</v>
      </c>
      <c r="C28" s="30"/>
      <c r="D28" s="15">
        <f>A4.4.2!D28+A4.4.3!D28</f>
        <v>1037.4260260000001</v>
      </c>
      <c r="E28" s="16">
        <f>A4.4.2!E28+A4.4.3!E28</f>
        <v>-840.270352</v>
      </c>
      <c r="F28" s="16">
        <f>A4.4.2!F28+A4.4.3!F28</f>
        <v>197.15567400000003</v>
      </c>
      <c r="G28" s="15">
        <f>A4.4.2!G28+A4.4.3!G28</f>
        <v>1155.674291</v>
      </c>
      <c r="H28" s="16">
        <f>A4.4.2!H28+A4.4.3!H28</f>
        <v>-942.9885690000001</v>
      </c>
      <c r="I28" s="16">
        <f>A4.4.2!I28+A4.4.3!I28</f>
        <v>212.68572199999991</v>
      </c>
      <c r="J28" s="15">
        <f>A4.4.2!J28+A4.4.3!J28</f>
        <v>1166.330655</v>
      </c>
      <c r="K28" s="16">
        <f>A4.4.2!K28+A4.4.3!K28</f>
        <v>-908.84228000000007</v>
      </c>
      <c r="L28" s="16">
        <f>A4.4.2!L28+A4.4.3!L28</f>
        <v>257.48837500000002</v>
      </c>
      <c r="M28" s="15">
        <f>A4.4.2!M28+A4.4.3!M28</f>
        <v>1327.530413</v>
      </c>
      <c r="N28" s="16">
        <f>A4.4.2!N28+A4.4.3!N28</f>
        <v>-1016.084913</v>
      </c>
      <c r="O28" s="17">
        <f>A4.4.2!O28+A4.4.3!O28</f>
        <v>311.44549999999981</v>
      </c>
      <c r="Q28" s="73"/>
    </row>
    <row r="29" spans="1:17" s="29" customFormat="1" ht="13.35" customHeight="1">
      <c r="A29" s="27"/>
      <c r="B29" s="30" t="s">
        <v>75</v>
      </c>
      <c r="C29" s="30"/>
      <c r="D29" s="15">
        <f>A4.4.2!D29+A4.4.3!D29</f>
        <v>853.04969900000003</v>
      </c>
      <c r="E29" s="16">
        <f>A4.4.2!E29+A4.4.3!E29</f>
        <v>-788.98170400000004</v>
      </c>
      <c r="F29" s="16">
        <f>A4.4.2!F29+A4.4.3!F29</f>
        <v>64.067994999999939</v>
      </c>
      <c r="G29" s="15">
        <f>A4.4.2!G29+A4.4.3!G29</f>
        <v>980.50388099999986</v>
      </c>
      <c r="H29" s="16">
        <f>A4.4.2!H29+A4.4.3!H29</f>
        <v>-1014.8577949999999</v>
      </c>
      <c r="I29" s="16">
        <f>A4.4.2!I29+A4.4.3!I29</f>
        <v>-34.353913999999975</v>
      </c>
      <c r="J29" s="15">
        <f>A4.4.2!J29+A4.4.3!J29</f>
        <v>1012.0116750000001</v>
      </c>
      <c r="K29" s="16">
        <f>A4.4.2!K29+A4.4.3!K29</f>
        <v>-1074.8188479999999</v>
      </c>
      <c r="L29" s="16">
        <f>A4.4.2!L29+A4.4.3!L29</f>
        <v>-62.807172999999921</v>
      </c>
      <c r="M29" s="15">
        <f>A4.4.2!M29+A4.4.3!M29</f>
        <v>1084.715868</v>
      </c>
      <c r="N29" s="16">
        <f>A4.4.2!N29+A4.4.3!N29</f>
        <v>-1121.533216</v>
      </c>
      <c r="O29" s="17">
        <f>A4.4.2!O29+A4.4.3!O29</f>
        <v>-36.817347999999981</v>
      </c>
      <c r="Q29" s="73"/>
    </row>
    <row r="30" spans="1:17" s="29" customFormat="1" ht="13.35" customHeight="1">
      <c r="A30" s="27"/>
      <c r="B30" s="30" t="s">
        <v>90</v>
      </c>
      <c r="C30" s="30"/>
      <c r="D30" s="15">
        <f>A4.4.2!D30+A4.4.3!D30</f>
        <v>5021.0160169999999</v>
      </c>
      <c r="E30" s="16">
        <f>A4.4.2!E30+A4.4.3!E30</f>
        <v>-3725.6927440000004</v>
      </c>
      <c r="F30" s="16">
        <f>A4.4.2!F30+A4.4.3!F30</f>
        <v>1295.3232729999997</v>
      </c>
      <c r="G30" s="15">
        <f>A4.4.2!G30+A4.4.3!G30</f>
        <v>6093.9476850000001</v>
      </c>
      <c r="H30" s="16">
        <f>A4.4.2!H30+A4.4.3!H30</f>
        <v>-4675.2835889999997</v>
      </c>
      <c r="I30" s="16">
        <f>A4.4.2!I30+A4.4.3!I30</f>
        <v>1418.6640960000002</v>
      </c>
      <c r="J30" s="15">
        <f>A4.4.2!J30+A4.4.3!J30</f>
        <v>5950.3006169999999</v>
      </c>
      <c r="K30" s="16">
        <f>A4.4.2!K30+A4.4.3!K30</f>
        <v>-4621.1022350000003</v>
      </c>
      <c r="L30" s="16">
        <f>A4.4.2!L30+A4.4.3!L30</f>
        <v>1329.1983819999996</v>
      </c>
      <c r="M30" s="15">
        <f>A4.4.2!M30+A4.4.3!M30</f>
        <v>6082.9553590000005</v>
      </c>
      <c r="N30" s="16">
        <f>A4.4.2!N30+A4.4.3!N30</f>
        <v>-4715.912851</v>
      </c>
      <c r="O30" s="17">
        <f>A4.4.2!O30+A4.4.3!O30</f>
        <v>1367.0425080000005</v>
      </c>
      <c r="Q30" s="73"/>
    </row>
    <row r="31" spans="1:17" s="29" customFormat="1" ht="13.35" customHeight="1">
      <c r="A31" s="27"/>
      <c r="B31" s="30" t="s">
        <v>2</v>
      </c>
      <c r="C31" s="30"/>
      <c r="D31" s="15">
        <f>A4.4.2!D31+A4.4.3!D31</f>
        <v>2898.9208229999999</v>
      </c>
      <c r="E31" s="16">
        <f>A4.4.2!E31+A4.4.3!E31</f>
        <v>-2485.6470480000003</v>
      </c>
      <c r="F31" s="16">
        <f>A4.4.2!F31+A4.4.3!F31</f>
        <v>413.27377499999983</v>
      </c>
      <c r="G31" s="15">
        <f>A4.4.2!G31+A4.4.3!G31</f>
        <v>3037.2858680000004</v>
      </c>
      <c r="H31" s="16">
        <f>A4.4.2!H31+A4.4.3!H31</f>
        <v>-2661.2561890000002</v>
      </c>
      <c r="I31" s="16">
        <f>A4.4.2!I31+A4.4.3!I31</f>
        <v>376.0296790000001</v>
      </c>
      <c r="J31" s="15">
        <f>A4.4.2!J31+A4.4.3!J31</f>
        <v>3214.4305610000001</v>
      </c>
      <c r="K31" s="16">
        <f>A4.4.2!K31+A4.4.3!K31</f>
        <v>-2590.7113300000001</v>
      </c>
      <c r="L31" s="16">
        <f>A4.4.2!L31+A4.4.3!L31</f>
        <v>623.71923100000004</v>
      </c>
      <c r="M31" s="15">
        <f>A4.4.2!M31+A4.4.3!M31</f>
        <v>3272.7656880000004</v>
      </c>
      <c r="N31" s="16">
        <f>A4.4.2!N31+A4.4.3!N31</f>
        <v>-2654.7109310000001</v>
      </c>
      <c r="O31" s="17">
        <f>A4.4.2!O31+A4.4.3!O31</f>
        <v>618.05475700000022</v>
      </c>
      <c r="Q31" s="73"/>
    </row>
    <row r="32" spans="1:17" s="29" customFormat="1" ht="13.35" customHeight="1">
      <c r="A32" s="27"/>
      <c r="B32" s="30" t="s">
        <v>76</v>
      </c>
      <c r="C32" s="30"/>
      <c r="D32" s="15">
        <f>A4.4.2!D32+A4.4.3!D32</f>
        <v>1775.289307</v>
      </c>
      <c r="E32" s="16">
        <f>A4.4.2!E32+A4.4.3!E32</f>
        <v>-1861.7103480000001</v>
      </c>
      <c r="F32" s="16">
        <f>A4.4.2!F32+A4.4.3!F32</f>
        <v>-86.421041000000173</v>
      </c>
      <c r="G32" s="15">
        <f>A4.4.2!G32+A4.4.3!G32</f>
        <v>2302.0661490000002</v>
      </c>
      <c r="H32" s="16">
        <f>A4.4.2!H32+A4.4.3!H32</f>
        <v>-2444.1609520000002</v>
      </c>
      <c r="I32" s="16">
        <f>A4.4.2!I32+A4.4.3!I32</f>
        <v>-142.09480299999996</v>
      </c>
      <c r="J32" s="15">
        <f>A4.4.2!J32+A4.4.3!J32</f>
        <v>1860.5816480000001</v>
      </c>
      <c r="K32" s="16">
        <f>A4.4.2!K32+A4.4.3!K32</f>
        <v>-1879.045179</v>
      </c>
      <c r="L32" s="16">
        <f>A4.4.2!L32+A4.4.3!L32</f>
        <v>-18.463530999999875</v>
      </c>
      <c r="M32" s="15">
        <f>A4.4.2!M32+A4.4.3!M32</f>
        <v>1908.7977089999999</v>
      </c>
      <c r="N32" s="16">
        <f>A4.4.2!N32+A4.4.3!N32</f>
        <v>-1737.305973</v>
      </c>
      <c r="O32" s="17">
        <f>A4.4.2!O32+A4.4.3!O32</f>
        <v>171.49173600000017</v>
      </c>
      <c r="Q32" s="73"/>
    </row>
    <row r="33" spans="1:17" s="29" customFormat="1" ht="13.35" customHeight="1">
      <c r="A33" s="27"/>
      <c r="B33" s="30" t="s">
        <v>77</v>
      </c>
      <c r="C33" s="30"/>
      <c r="D33" s="15">
        <f>A4.4.2!D33+A4.4.3!D33</f>
        <v>33576.242297999997</v>
      </c>
      <c r="E33" s="16">
        <f>A4.4.2!E33+A4.4.3!E33</f>
        <v>-28674.292569999998</v>
      </c>
      <c r="F33" s="16">
        <f>A4.4.2!F33+A4.4.3!F33</f>
        <v>4901.9497279999996</v>
      </c>
      <c r="G33" s="15">
        <f>A4.4.2!G33+A4.4.3!G33</f>
        <v>41156.953350000003</v>
      </c>
      <c r="H33" s="16">
        <f>A4.4.2!H33+A4.4.3!H33</f>
        <v>-36828.452932</v>
      </c>
      <c r="I33" s="16">
        <f>A4.4.2!I33+A4.4.3!I33</f>
        <v>4328.5004180000014</v>
      </c>
      <c r="J33" s="15">
        <f>A4.4.2!J33+A4.4.3!J33</f>
        <v>39807.477731000006</v>
      </c>
      <c r="K33" s="16">
        <f>A4.4.2!K33+A4.4.3!K33</f>
        <v>-32802.927136999999</v>
      </c>
      <c r="L33" s="16">
        <f>A4.4.2!L33+A4.4.3!L33</f>
        <v>7004.5505940000048</v>
      </c>
      <c r="M33" s="15">
        <f>A4.4.2!M33+A4.4.3!M33</f>
        <v>44084.156478000004</v>
      </c>
      <c r="N33" s="16">
        <f>A4.4.2!N33+A4.4.3!N33</f>
        <v>-36463.720638999999</v>
      </c>
      <c r="O33" s="17">
        <f>A4.4.2!O33+A4.4.3!O33</f>
        <v>7620.4358390000016</v>
      </c>
      <c r="Q33" s="73"/>
    </row>
    <row r="34" spans="1:17" s="33" customFormat="1" ht="13.35" customHeight="1">
      <c r="A34" s="31"/>
      <c r="B34" s="32" t="s">
        <v>91</v>
      </c>
      <c r="C34" s="32"/>
      <c r="D34" s="15">
        <f>A4.4.2!D34+A4.4.3!D34</f>
        <v>28867.621635999996</v>
      </c>
      <c r="E34" s="16">
        <f>A4.4.2!E34+A4.4.3!E34</f>
        <v>-33407.270261999998</v>
      </c>
      <c r="F34" s="16">
        <f>A4.4.2!F34+A4.4.3!F34</f>
        <v>-4539.648626000002</v>
      </c>
      <c r="G34" s="15">
        <f>A4.4.2!G34+A4.4.3!G34</f>
        <v>27895.337602</v>
      </c>
      <c r="H34" s="16">
        <f>A4.4.2!H34+A4.4.3!H34</f>
        <v>-35107.601823000005</v>
      </c>
      <c r="I34" s="16">
        <f>A4.4.2!I34+A4.4.3!I34</f>
        <v>-7212.2642209999995</v>
      </c>
      <c r="J34" s="15">
        <f>A4.4.2!J34+A4.4.3!J34</f>
        <v>25829.543035000002</v>
      </c>
      <c r="K34" s="16">
        <f>A4.4.2!K34+A4.4.3!K34</f>
        <v>-28343.954570000002</v>
      </c>
      <c r="L34" s="16">
        <f>A4.4.2!L34+A4.4.3!L34</f>
        <v>-2514.4115349999993</v>
      </c>
      <c r="M34" s="15">
        <f>A4.4.2!M34+A4.4.3!M34</f>
        <v>30627.293395000001</v>
      </c>
      <c r="N34" s="16">
        <f>A4.4.2!N34+A4.4.3!N34</f>
        <v>-34187.15825</v>
      </c>
      <c r="O34" s="17">
        <f>A4.4.2!O34+A4.4.3!O34</f>
        <v>-3559.864854999998</v>
      </c>
      <c r="Q34" s="73"/>
    </row>
    <row r="35" spans="1:17" s="33" customFormat="1" ht="13.35" customHeight="1">
      <c r="A35" s="31"/>
      <c r="B35" s="32" t="s">
        <v>78</v>
      </c>
      <c r="C35" s="32"/>
      <c r="D35" s="15">
        <f>A4.4.2!D35+A4.4.3!D35</f>
        <v>57483.187100000003</v>
      </c>
      <c r="E35" s="16">
        <f>A4.4.2!E35+A4.4.3!E35</f>
        <v>-54052.369809000003</v>
      </c>
      <c r="F35" s="16">
        <f>A4.4.2!F35+A4.4.3!F35</f>
        <v>3430.8172909999976</v>
      </c>
      <c r="G35" s="15">
        <f>A4.4.2!G35+A4.4.3!G35</f>
        <v>61586.380206000002</v>
      </c>
      <c r="H35" s="16">
        <f>A4.4.2!H35+A4.4.3!H35</f>
        <v>-58754.845788000006</v>
      </c>
      <c r="I35" s="16">
        <f>A4.4.2!I35+A4.4.3!I35</f>
        <v>2831.5344180000029</v>
      </c>
      <c r="J35" s="15">
        <f>A4.4.2!J35+A4.4.3!J35</f>
        <v>58473.380970999991</v>
      </c>
      <c r="K35" s="16">
        <f>A4.4.2!K35+A4.4.3!K35</f>
        <v>-54038.819261999997</v>
      </c>
      <c r="L35" s="16">
        <f>A4.4.2!L35+A4.4.3!L35</f>
        <v>4434.5617089999978</v>
      </c>
      <c r="M35" s="15">
        <f>A4.4.2!M35+A4.4.3!M35</f>
        <v>64078.834321000002</v>
      </c>
      <c r="N35" s="16">
        <f>A4.4.2!N35+A4.4.3!N35</f>
        <v>-59987.548974999998</v>
      </c>
      <c r="O35" s="17">
        <f>A4.4.2!O35+A4.4.3!O35</f>
        <v>4091.285346000006</v>
      </c>
      <c r="Q35" s="73"/>
    </row>
    <row r="36" spans="1:17" s="33" customFormat="1" ht="13.35" customHeight="1">
      <c r="A36" s="31"/>
      <c r="B36" s="32" t="s">
        <v>92</v>
      </c>
      <c r="C36" s="32"/>
      <c r="D36" s="15">
        <f>A4.4.2!D36+A4.4.3!D36</f>
        <v>3686.1180799999997</v>
      </c>
      <c r="E36" s="16">
        <f>A4.4.2!E36+A4.4.3!E36</f>
        <v>-3009.1215509999997</v>
      </c>
      <c r="F36" s="16">
        <f>A4.4.2!F36+A4.4.3!F36</f>
        <v>676.99652900000001</v>
      </c>
      <c r="G36" s="15">
        <f>A4.4.2!G36+A4.4.3!G36</f>
        <v>3819.8100549999995</v>
      </c>
      <c r="H36" s="16">
        <f>A4.4.2!H36+A4.4.3!H36</f>
        <v>-3242.3760750000001</v>
      </c>
      <c r="I36" s="16">
        <f>A4.4.2!I36+A4.4.3!I36</f>
        <v>577.43397999999956</v>
      </c>
      <c r="J36" s="15">
        <f>A4.4.2!J36+A4.4.3!J36</f>
        <v>3526.1644080000001</v>
      </c>
      <c r="K36" s="16">
        <f>A4.4.2!K36+A4.4.3!K36</f>
        <v>-2889.5186549999999</v>
      </c>
      <c r="L36" s="16">
        <f>A4.4.2!L36+A4.4.3!L36</f>
        <v>636.64575300000013</v>
      </c>
      <c r="M36" s="15">
        <f>A4.4.2!M36+A4.4.3!M36</f>
        <v>3593.977081</v>
      </c>
      <c r="N36" s="16">
        <f>A4.4.2!N36+A4.4.3!N36</f>
        <v>-2886.7308659999999</v>
      </c>
      <c r="O36" s="17">
        <f>A4.4.2!O36+A4.4.3!O36</f>
        <v>707.24621499999989</v>
      </c>
      <c r="Q36" s="73"/>
    </row>
    <row r="37" spans="1:17" s="29" customFormat="1" ht="13.35" customHeight="1">
      <c r="A37" s="34"/>
      <c r="B37" s="35" t="s">
        <v>0</v>
      </c>
      <c r="C37" s="36"/>
      <c r="D37" s="37">
        <f t="shared" ref="D37:O37" si="0">SUM(D4:D36)</f>
        <v>688846.20218799985</v>
      </c>
      <c r="E37" s="38">
        <f t="shared" si="0"/>
        <v>-625339.7717690001</v>
      </c>
      <c r="F37" s="38">
        <f t="shared" si="0"/>
        <v>63506.430419000011</v>
      </c>
      <c r="G37" s="37">
        <f t="shared" si="0"/>
        <v>791327.03442899999</v>
      </c>
      <c r="H37" s="38">
        <f t="shared" si="0"/>
        <v>-737522.18996100011</v>
      </c>
      <c r="I37" s="38">
        <f t="shared" si="0"/>
        <v>53804.844467999967</v>
      </c>
      <c r="J37" s="37">
        <f t="shared" si="0"/>
        <v>757729.99189800001</v>
      </c>
      <c r="K37" s="38">
        <f t="shared" si="0"/>
        <v>-676176.17735300004</v>
      </c>
      <c r="L37" s="38">
        <f t="shared" si="0"/>
        <v>81553.814544999987</v>
      </c>
      <c r="M37" s="37">
        <f t="shared" si="0"/>
        <v>834990.39520600019</v>
      </c>
      <c r="N37" s="38">
        <f t="shared" si="0"/>
        <v>-743720.49420399999</v>
      </c>
      <c r="O37" s="39">
        <f t="shared" si="0"/>
        <v>91269.901002000042</v>
      </c>
    </row>
    <row r="38" spans="1:17" s="29" customFormat="1" ht="12" customHeight="1">
      <c r="B38" s="63"/>
    </row>
    <row r="39" spans="1:17" s="29" customFormat="1" ht="13.35" customHeight="1"/>
    <row r="40" spans="1:17" s="29" customFormat="1" ht="13.35" customHeight="1"/>
    <row r="41" spans="1:17" s="29" customFormat="1" ht="13.35" customHeight="1"/>
    <row r="42" spans="1:17" s="29" customFormat="1" ht="13.35" customHeight="1"/>
    <row r="43" spans="1:17" s="29" customFormat="1" ht="13.35" customHeight="1">
      <c r="M43" s="102"/>
      <c r="N43" s="102"/>
      <c r="O43" s="102"/>
    </row>
    <row r="44" spans="1:17" s="29" customFormat="1" ht="13.35" customHeight="1"/>
    <row r="45" spans="1:17" s="29" customFormat="1" ht="13.35" customHeight="1">
      <c r="B45" s="14"/>
      <c r="N45" s="105"/>
      <c r="O45" s="105"/>
    </row>
    <row r="46" spans="1:17" s="29" customFormat="1" ht="13.35" customHeight="1">
      <c r="B46" s="14"/>
      <c r="N46" s="105"/>
      <c r="O46" s="105"/>
    </row>
    <row r="47" spans="1:17" s="29" customFormat="1" ht="13.35" customHeight="1">
      <c r="B47" s="30"/>
    </row>
    <row r="48" spans="1:17" s="29" customFormat="1" ht="13.35" customHeight="1">
      <c r="B48" s="30"/>
    </row>
    <row r="49" spans="2:2" s="29" customFormat="1" ht="13.35" customHeight="1">
      <c r="B49" s="30"/>
    </row>
    <row r="50" spans="2:2" s="29" customFormat="1" ht="13.35" customHeight="1">
      <c r="B50" s="30"/>
    </row>
    <row r="51" spans="2:2" s="29" customFormat="1" ht="13.35" customHeight="1">
      <c r="B51" s="30"/>
    </row>
    <row r="52" spans="2:2" s="29" customFormat="1" ht="13.35" customHeight="1">
      <c r="B52" s="30"/>
    </row>
    <row r="53" spans="2:2" s="29" customFormat="1" ht="13.35" customHeight="1">
      <c r="B53" s="30"/>
    </row>
    <row r="54" spans="2:2" s="29" customFormat="1" ht="13.35" customHeight="1">
      <c r="B54" s="30"/>
    </row>
    <row r="55" spans="2:2" s="29" customFormat="1" ht="13.35" customHeight="1">
      <c r="B55" s="30"/>
    </row>
    <row r="56" spans="2:2" s="29" customFormat="1" ht="13.35" customHeight="1">
      <c r="B56" s="30"/>
    </row>
    <row r="57" spans="2:2" s="29" customFormat="1" ht="13.35" customHeight="1">
      <c r="B57" s="30"/>
    </row>
    <row r="58" spans="2:2" s="29" customFormat="1" ht="13.35" customHeight="1">
      <c r="B58" s="30"/>
    </row>
    <row r="59" spans="2:2" s="29" customFormat="1" ht="13.35" customHeight="1">
      <c r="B59" s="30"/>
    </row>
    <row r="60" spans="2:2" s="29" customFormat="1" ht="13.35" customHeight="1">
      <c r="B60" s="30"/>
    </row>
    <row r="61" spans="2:2" s="29" customFormat="1" ht="13.35" customHeight="1">
      <c r="B61" s="30"/>
    </row>
    <row r="62" spans="2:2" s="29" customFormat="1" ht="13.35" customHeight="1">
      <c r="B62" s="32"/>
    </row>
    <row r="63" spans="2:2" s="29" customFormat="1" ht="13.35" customHeight="1">
      <c r="B63" s="32"/>
    </row>
    <row r="64" spans="2:2" s="29" customFormat="1" ht="13.35" customHeight="1">
      <c r="B64" s="32"/>
    </row>
    <row r="65" spans="2:15" s="29" customFormat="1" ht="13.35" customHeight="1">
      <c r="B65" s="32"/>
      <c r="M65" s="102"/>
      <c r="N65" s="102"/>
      <c r="O65" s="102"/>
    </row>
    <row r="66" spans="2:15" s="29" customFormat="1" ht="13.35" customHeight="1"/>
    <row r="67" spans="2:15" s="29" customFormat="1" ht="13.35" customHeight="1"/>
    <row r="68" spans="2:15" s="29" customFormat="1" ht="13.35" customHeight="1"/>
    <row r="69" spans="2:15" s="29" customFormat="1" ht="13.35" customHeight="1"/>
    <row r="70" spans="2:15" s="29" customFormat="1" ht="13.35" customHeight="1"/>
    <row r="71" spans="2:15" s="29" customFormat="1" ht="13.35" customHeight="1">
      <c r="M71" s="102"/>
      <c r="N71" s="102"/>
      <c r="O71" s="102"/>
    </row>
    <row r="72" spans="2:15" s="29" customFormat="1" ht="13.35" customHeight="1">
      <c r="M72" s="102"/>
      <c r="N72" s="102"/>
      <c r="O72" s="102"/>
    </row>
    <row r="73" spans="2:15" s="29" customFormat="1" ht="13.35" customHeight="1">
      <c r="M73" s="102"/>
      <c r="N73" s="102"/>
      <c r="O73" s="102"/>
    </row>
    <row r="74" spans="2:15" s="29" customFormat="1" ht="13.35" customHeight="1">
      <c r="M74" s="102"/>
      <c r="N74" s="102"/>
      <c r="O74" s="102"/>
    </row>
    <row r="75" spans="2:15" s="29" customFormat="1" ht="13.35" customHeight="1">
      <c r="M75" s="102"/>
      <c r="N75" s="102"/>
      <c r="O75" s="102"/>
    </row>
    <row r="76" spans="2:15" s="29" customFormat="1" ht="13.35" customHeight="1">
      <c r="M76" s="102"/>
      <c r="N76" s="102"/>
      <c r="O76" s="102"/>
    </row>
    <row r="77" spans="2:15" s="29" customFormat="1" ht="13.35" customHeight="1">
      <c r="M77" s="102"/>
      <c r="N77" s="102"/>
      <c r="O77" s="102"/>
    </row>
    <row r="78" spans="2:15" s="29" customFormat="1" ht="13.35" customHeight="1">
      <c r="M78" s="102"/>
      <c r="N78" s="102"/>
      <c r="O78" s="102"/>
    </row>
    <row r="79" spans="2:15" s="29" customFormat="1" ht="13.35" customHeight="1">
      <c r="M79" s="102"/>
      <c r="N79" s="102"/>
      <c r="O79" s="102"/>
    </row>
    <row r="80" spans="2:15" s="29" customFormat="1" ht="13.35" customHeight="1">
      <c r="M80" s="102"/>
      <c r="N80" s="102"/>
      <c r="O80" s="102"/>
    </row>
    <row r="81" spans="13:15" s="29" customFormat="1" ht="13.35" customHeight="1">
      <c r="M81" s="102"/>
      <c r="N81" s="102"/>
      <c r="O81" s="102"/>
    </row>
    <row r="82" spans="13:15" s="29" customFormat="1" ht="13.35" customHeight="1">
      <c r="M82" s="102"/>
      <c r="N82" s="102"/>
      <c r="O82" s="102"/>
    </row>
    <row r="83" spans="13:15" s="29" customFormat="1" ht="13.35" customHeight="1">
      <c r="M83" s="102"/>
      <c r="N83" s="102"/>
      <c r="O83" s="102"/>
    </row>
    <row r="84" spans="13:15" s="29" customFormat="1" ht="13.35" customHeight="1">
      <c r="M84" s="102"/>
      <c r="N84" s="102"/>
      <c r="O84" s="102"/>
    </row>
    <row r="85" spans="13:15" s="29" customFormat="1" ht="13.35" customHeight="1">
      <c r="M85" s="102"/>
      <c r="N85" s="102"/>
      <c r="O85" s="102"/>
    </row>
    <row r="86" spans="13:15" s="29" customFormat="1" ht="13.35" customHeight="1">
      <c r="M86" s="102"/>
      <c r="N86" s="102"/>
      <c r="O86" s="102"/>
    </row>
    <row r="87" spans="13:15" s="29" customFormat="1" ht="13.35" customHeight="1">
      <c r="M87" s="102"/>
      <c r="N87" s="102"/>
      <c r="O87" s="102"/>
    </row>
    <row r="88" spans="13:15" s="29" customFormat="1" ht="13.35" customHeight="1">
      <c r="M88" s="102"/>
      <c r="N88" s="102"/>
      <c r="O88" s="102"/>
    </row>
    <row r="89" spans="13:15" s="29" customFormat="1" ht="13.35" customHeight="1">
      <c r="M89" s="102"/>
      <c r="N89" s="102"/>
      <c r="O89" s="102"/>
    </row>
    <row r="90" spans="13:15" s="29" customFormat="1" ht="13.35" customHeight="1">
      <c r="M90" s="102"/>
      <c r="N90" s="102"/>
      <c r="O90" s="102"/>
    </row>
    <row r="91" spans="13:15" s="29" customFormat="1" ht="13.35" customHeight="1">
      <c r="M91" s="102"/>
      <c r="N91" s="102"/>
      <c r="O91" s="102"/>
    </row>
    <row r="92" spans="13:15" s="29" customFormat="1" ht="13.35" customHeight="1">
      <c r="M92" s="102"/>
      <c r="N92" s="102"/>
      <c r="O92" s="102"/>
    </row>
    <row r="93" spans="13:15" s="29" customFormat="1" ht="13.35" customHeight="1">
      <c r="M93" s="102"/>
      <c r="N93" s="102"/>
      <c r="O93" s="102"/>
    </row>
    <row r="94" spans="13:15" s="29" customFormat="1" ht="13.35" customHeight="1">
      <c r="M94" s="102"/>
      <c r="N94" s="102"/>
      <c r="O94" s="102"/>
    </row>
    <row r="95" spans="13:15" s="29" customFormat="1" ht="13.35" customHeight="1">
      <c r="M95" s="102"/>
      <c r="N95" s="102"/>
      <c r="O95" s="102"/>
    </row>
    <row r="96" spans="13:15" s="29" customFormat="1" ht="13.35" customHeight="1">
      <c r="M96" s="102"/>
      <c r="N96" s="102"/>
      <c r="O96" s="102"/>
    </row>
    <row r="97" spans="13:15" s="29" customFormat="1" ht="13.35" customHeight="1">
      <c r="M97" s="102"/>
      <c r="N97" s="102"/>
      <c r="O97" s="102"/>
    </row>
    <row r="98" spans="13:15" s="29" customFormat="1" ht="13.35" customHeight="1">
      <c r="M98" s="102"/>
      <c r="N98" s="102"/>
      <c r="O98" s="102"/>
    </row>
    <row r="99" spans="13:15" s="29" customFormat="1" ht="13.35" customHeight="1">
      <c r="M99" s="102"/>
      <c r="N99" s="102"/>
      <c r="O99" s="102"/>
    </row>
    <row r="100" spans="13:15" s="29" customFormat="1" ht="13.35" customHeight="1">
      <c r="M100" s="102"/>
      <c r="N100" s="102"/>
      <c r="O100" s="102"/>
    </row>
    <row r="101" spans="13:15" s="29" customFormat="1" ht="13.35" customHeight="1">
      <c r="M101" s="102"/>
      <c r="N101" s="102"/>
      <c r="O101" s="102"/>
    </row>
    <row r="102" spans="13:15" s="29" customFormat="1" ht="13.35" customHeight="1">
      <c r="N102" s="102"/>
      <c r="O102" s="102"/>
    </row>
    <row r="103" spans="13:15" s="29" customFormat="1" ht="13.35" customHeight="1"/>
    <row r="104" spans="13:15" s="29" customFormat="1" ht="13.35" customHeight="1">
      <c r="N104" s="101"/>
      <c r="O104" s="101"/>
    </row>
    <row r="105" spans="13:15" s="29" customFormat="1" ht="13.35" customHeight="1"/>
    <row r="106" spans="13:15" s="29" customFormat="1" ht="13.35" customHeight="1"/>
    <row r="107" spans="13:15" s="29" customFormat="1" ht="13.35" customHeight="1"/>
    <row r="108" spans="13:15" s="29" customFormat="1" ht="13.35" customHeight="1"/>
    <row r="109" spans="13:15" s="29" customFormat="1" ht="13.35" customHeight="1"/>
    <row r="110" spans="13:15" s="29" customFormat="1" ht="13.35" customHeight="1"/>
    <row r="111" spans="13:15" s="29" customFormat="1" ht="13.35" customHeight="1"/>
    <row r="112" spans="13:15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pans="2:8" s="29" customFormat="1" ht="13.35" customHeight="1"/>
    <row r="3266" spans="2:8" s="29" customFormat="1" ht="13.35" customHeight="1"/>
    <row r="3267" spans="2:8" s="29" customFormat="1" ht="13.35" customHeight="1"/>
    <row r="3268" spans="2:8" s="29" customFormat="1" ht="13.35" customHeight="1"/>
    <row r="3269" spans="2:8" s="29" customFormat="1" ht="13.35" customHeight="1"/>
    <row r="3270" spans="2:8" s="29" customFormat="1" ht="13.35" customHeight="1"/>
    <row r="3271" spans="2:8" s="29" customFormat="1" ht="13.35" customHeight="1"/>
    <row r="3272" spans="2:8" s="29" customFormat="1" ht="13.35" customHeight="1"/>
    <row r="3273" spans="2:8" s="29" customFormat="1" ht="13.35" customHeight="1"/>
    <row r="3274" spans="2:8" s="29" customFormat="1" ht="13.35" customHeight="1"/>
    <row r="3275" spans="2:8" s="29" customFormat="1" ht="13.35" customHeight="1"/>
    <row r="3276" spans="2:8" s="29" customFormat="1" ht="13.35" customHeight="1"/>
    <row r="3277" spans="2:8">
      <c r="B3277" s="29"/>
      <c r="C3277" s="29"/>
      <c r="D3277" s="29"/>
      <c r="E3277" s="29"/>
      <c r="F3277" s="29"/>
      <c r="G3277" s="29"/>
      <c r="H3277" s="29"/>
    </row>
  </sheetData>
  <mergeCells count="1">
    <mergeCell ref="B3:C3"/>
  </mergeCells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3277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136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130</v>
      </c>
      <c r="E3" s="61" t="s">
        <v>129</v>
      </c>
      <c r="F3" s="61" t="s">
        <v>131</v>
      </c>
      <c r="G3" s="60" t="s">
        <v>130</v>
      </c>
      <c r="H3" s="61" t="s">
        <v>129</v>
      </c>
      <c r="I3" s="61" t="s">
        <v>131</v>
      </c>
      <c r="J3" s="60" t="s">
        <v>130</v>
      </c>
      <c r="K3" s="61" t="s">
        <v>129</v>
      </c>
      <c r="L3" s="61" t="s">
        <v>131</v>
      </c>
      <c r="M3" s="60" t="s">
        <v>130</v>
      </c>
      <c r="N3" s="61" t="s">
        <v>129</v>
      </c>
      <c r="O3" s="62" t="s">
        <v>131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v>38541.817208</v>
      </c>
      <c r="E4" s="16">
        <v>-25466.766358999997</v>
      </c>
      <c r="F4" s="16">
        <f t="shared" ref="F4:F36" si="0">SUM(D4:E4)</f>
        <v>13075.050849000003</v>
      </c>
      <c r="G4" s="15">
        <v>43811.788034999998</v>
      </c>
      <c r="H4" s="16">
        <v>-28313.823605000001</v>
      </c>
      <c r="I4" s="16">
        <f t="shared" ref="I4:I36" si="1">SUM(G4:H4)</f>
        <v>15497.964429999996</v>
      </c>
      <c r="J4" s="15">
        <v>41870.021712000002</v>
      </c>
      <c r="K4" s="16">
        <v>-26030.825852999998</v>
      </c>
      <c r="L4" s="16">
        <f t="shared" ref="L4:L36" si="2">SUM(J4:K4)</f>
        <v>15839.195859000003</v>
      </c>
      <c r="M4" s="15">
        <v>45801.570811999998</v>
      </c>
      <c r="N4" s="16">
        <v>-28549.971233</v>
      </c>
      <c r="O4" s="17">
        <f t="shared" ref="O4:O36" si="3">SUM(M4:N4)</f>
        <v>17251.599578999998</v>
      </c>
      <c r="Q4" s="73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v>26605.708512999998</v>
      </c>
      <c r="E5" s="16">
        <v>-18765.945211999999</v>
      </c>
      <c r="F5" s="16">
        <f t="shared" si="0"/>
        <v>7839.763300999999</v>
      </c>
      <c r="G5" s="15">
        <v>26678.645108000001</v>
      </c>
      <c r="H5" s="16">
        <v>-18363.763555999998</v>
      </c>
      <c r="I5" s="16">
        <f t="shared" si="1"/>
        <v>8314.8815520000026</v>
      </c>
      <c r="J5" s="15">
        <v>28916.218198000002</v>
      </c>
      <c r="K5" s="16">
        <v>-20155.001444000001</v>
      </c>
      <c r="L5" s="16">
        <f t="shared" si="2"/>
        <v>8761.2167540000009</v>
      </c>
      <c r="M5" s="15">
        <v>36997.427830000001</v>
      </c>
      <c r="N5" s="16">
        <v>-27118.531906</v>
      </c>
      <c r="O5" s="17">
        <f t="shared" si="3"/>
        <v>9878.8959240000004</v>
      </c>
      <c r="Q5" s="73"/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v>2448.4455240000002</v>
      </c>
      <c r="E6" s="16">
        <v>-1777.7769919999998</v>
      </c>
      <c r="F6" s="16">
        <f t="shared" si="0"/>
        <v>670.66853200000037</v>
      </c>
      <c r="G6" s="15">
        <v>2525.0196120000001</v>
      </c>
      <c r="H6" s="16">
        <v>-1861.9824349999999</v>
      </c>
      <c r="I6" s="16">
        <f t="shared" si="1"/>
        <v>663.03717700000016</v>
      </c>
      <c r="J6" s="15">
        <v>2541.066675</v>
      </c>
      <c r="K6" s="16">
        <v>-1825.2471680000001</v>
      </c>
      <c r="L6" s="16">
        <f t="shared" si="2"/>
        <v>715.81950699999993</v>
      </c>
      <c r="M6" s="15">
        <v>2777.0439549999996</v>
      </c>
      <c r="N6" s="16">
        <v>-2034.9423839999999</v>
      </c>
      <c r="O6" s="17">
        <f t="shared" si="3"/>
        <v>742.10157099999969</v>
      </c>
      <c r="Q6" s="73"/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v>7325.7267969999994</v>
      </c>
      <c r="E7" s="16">
        <v>-4892.3860270000005</v>
      </c>
      <c r="F7" s="16">
        <f t="shared" si="0"/>
        <v>2433.3407699999989</v>
      </c>
      <c r="G7" s="15">
        <v>8369.4697809999998</v>
      </c>
      <c r="H7" s="16">
        <v>-5711.9330609999997</v>
      </c>
      <c r="I7" s="16">
        <f t="shared" si="1"/>
        <v>2657.5367200000001</v>
      </c>
      <c r="J7" s="15">
        <v>8198.8475459999991</v>
      </c>
      <c r="K7" s="16">
        <v>-5538.6881659999999</v>
      </c>
      <c r="L7" s="16">
        <f t="shared" si="2"/>
        <v>2660.1593799999991</v>
      </c>
      <c r="M7" s="15">
        <v>9340.3902199999993</v>
      </c>
      <c r="N7" s="16">
        <v>-6152.2678080000005</v>
      </c>
      <c r="O7" s="17">
        <f t="shared" si="3"/>
        <v>3188.1224119999988</v>
      </c>
      <c r="Q7" s="73"/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v>13992.933907000001</v>
      </c>
      <c r="E8" s="16">
        <v>-10665.099206000001</v>
      </c>
      <c r="F8" s="16">
        <f t="shared" si="0"/>
        <v>3327.8347009999998</v>
      </c>
      <c r="G8" s="15">
        <v>14701.565435</v>
      </c>
      <c r="H8" s="16">
        <v>-11370.64357</v>
      </c>
      <c r="I8" s="16">
        <f t="shared" si="1"/>
        <v>3330.9218650000003</v>
      </c>
      <c r="J8" s="15">
        <v>16086.339897</v>
      </c>
      <c r="K8" s="16">
        <v>-12070.480278999999</v>
      </c>
      <c r="L8" s="16">
        <f t="shared" si="2"/>
        <v>4015.8596180000004</v>
      </c>
      <c r="M8" s="15">
        <v>16400.831547000002</v>
      </c>
      <c r="N8" s="16">
        <v>-12313.094403999999</v>
      </c>
      <c r="O8" s="17">
        <f t="shared" si="3"/>
        <v>4087.7371430000021</v>
      </c>
      <c r="Q8" s="73"/>
    </row>
    <row r="9" spans="1:35" ht="13.35" customHeight="1">
      <c r="A9" s="13"/>
      <c r="B9" s="14" t="s">
        <v>64</v>
      </c>
      <c r="C9" s="14"/>
      <c r="D9" s="15">
        <v>2465.7205879999997</v>
      </c>
      <c r="E9" s="16">
        <v>-1747.3590730000001</v>
      </c>
      <c r="F9" s="16">
        <f t="shared" si="0"/>
        <v>718.3615149999996</v>
      </c>
      <c r="G9" s="15">
        <v>2584.0408940000002</v>
      </c>
      <c r="H9" s="16">
        <v>-1889.7232980000001</v>
      </c>
      <c r="I9" s="16">
        <f t="shared" si="1"/>
        <v>694.31759600000009</v>
      </c>
      <c r="J9" s="15">
        <v>2739.0136229999998</v>
      </c>
      <c r="K9" s="16">
        <v>-1968.350048</v>
      </c>
      <c r="L9" s="16">
        <f t="shared" si="2"/>
        <v>770.66357499999981</v>
      </c>
      <c r="M9" s="15">
        <v>3082.6386729999999</v>
      </c>
      <c r="N9" s="16">
        <v>-2255.8166700000002</v>
      </c>
      <c r="O9" s="17">
        <f t="shared" si="3"/>
        <v>826.82200299999977</v>
      </c>
      <c r="Q9" s="73"/>
    </row>
    <row r="10" spans="1:35" ht="13.35" customHeight="1">
      <c r="A10" s="13"/>
      <c r="B10" s="14" t="s">
        <v>84</v>
      </c>
      <c r="C10" s="14"/>
      <c r="D10" s="15">
        <v>7452.8526160000001</v>
      </c>
      <c r="E10" s="16">
        <v>-3861.167868</v>
      </c>
      <c r="F10" s="16">
        <f t="shared" si="0"/>
        <v>3591.6847480000001</v>
      </c>
      <c r="G10" s="15">
        <v>10773.105239</v>
      </c>
      <c r="H10" s="16">
        <v>-5285.4128540000002</v>
      </c>
      <c r="I10" s="16">
        <f t="shared" si="1"/>
        <v>5487.6923850000003</v>
      </c>
      <c r="J10" s="15">
        <v>8200.1440309999998</v>
      </c>
      <c r="K10" s="16">
        <v>-5601.1578020000006</v>
      </c>
      <c r="L10" s="16">
        <f t="shared" si="2"/>
        <v>2598.9862289999992</v>
      </c>
      <c r="M10" s="15">
        <v>8724.7005119999994</v>
      </c>
      <c r="N10" s="16">
        <v>-5476.7882010000003</v>
      </c>
      <c r="O10" s="17">
        <f t="shared" si="3"/>
        <v>3247.9123109999991</v>
      </c>
      <c r="Q10" s="73"/>
    </row>
    <row r="11" spans="1:35" s="29" customFormat="1" ht="13.35" customHeight="1">
      <c r="A11" s="27"/>
      <c r="B11" s="28" t="s">
        <v>1</v>
      </c>
      <c r="C11" s="28"/>
      <c r="D11" s="15">
        <v>34479.700000999997</v>
      </c>
      <c r="E11" s="16">
        <v>-22862.41114</v>
      </c>
      <c r="F11" s="16">
        <f t="shared" si="0"/>
        <v>11617.288860999997</v>
      </c>
      <c r="G11" s="15">
        <v>41700.682234</v>
      </c>
      <c r="H11" s="16">
        <v>-27399.457860999999</v>
      </c>
      <c r="I11" s="16">
        <f t="shared" si="1"/>
        <v>14301.224373000001</v>
      </c>
      <c r="J11" s="15">
        <v>39029.796838999995</v>
      </c>
      <c r="K11" s="16">
        <v>-25315.994336</v>
      </c>
      <c r="L11" s="16">
        <f t="shared" si="2"/>
        <v>13713.802502999995</v>
      </c>
      <c r="M11" s="15">
        <v>36909.396326000002</v>
      </c>
      <c r="N11" s="16">
        <v>-23932.369074999999</v>
      </c>
      <c r="O11" s="17">
        <f t="shared" si="3"/>
        <v>12977.027251000003</v>
      </c>
      <c r="Q11" s="73"/>
    </row>
    <row r="12" spans="1:35" s="29" customFormat="1" ht="13.35" customHeight="1">
      <c r="A12" s="27"/>
      <c r="B12" s="28" t="s">
        <v>65</v>
      </c>
      <c r="C12" s="28"/>
      <c r="D12" s="15">
        <v>818.08172999999999</v>
      </c>
      <c r="E12" s="16">
        <v>-452.91924700000004</v>
      </c>
      <c r="F12" s="16">
        <f t="shared" si="0"/>
        <v>365.16248299999995</v>
      </c>
      <c r="G12" s="15">
        <v>957.59254199999998</v>
      </c>
      <c r="H12" s="16">
        <v>-521.43507599999998</v>
      </c>
      <c r="I12" s="16">
        <f t="shared" si="1"/>
        <v>436.157466</v>
      </c>
      <c r="J12" s="15">
        <v>912.52845400000001</v>
      </c>
      <c r="K12" s="16">
        <v>-483.55629900000002</v>
      </c>
      <c r="L12" s="16">
        <f t="shared" si="2"/>
        <v>428.97215499999999</v>
      </c>
      <c r="M12" s="15">
        <v>932.69084799999996</v>
      </c>
      <c r="N12" s="16">
        <v>-489.23406599999998</v>
      </c>
      <c r="O12" s="17">
        <f t="shared" si="3"/>
        <v>443.45678199999998</v>
      </c>
      <c r="Q12" s="73"/>
    </row>
    <row r="13" spans="1:35" s="29" customFormat="1" ht="13.35" customHeight="1">
      <c r="A13" s="27"/>
      <c r="B13" s="30" t="s">
        <v>85</v>
      </c>
      <c r="C13" s="30"/>
      <c r="D13" s="15">
        <v>3075.2879029999999</v>
      </c>
      <c r="E13" s="16">
        <v>-2036.9327250000001</v>
      </c>
      <c r="F13" s="16">
        <f t="shared" si="0"/>
        <v>1038.3551779999998</v>
      </c>
      <c r="G13" s="15">
        <v>4187.4496650000001</v>
      </c>
      <c r="H13" s="16">
        <v>-2807.5928680000002</v>
      </c>
      <c r="I13" s="16">
        <f t="shared" si="1"/>
        <v>1379.8567969999999</v>
      </c>
      <c r="J13" s="15">
        <v>4753.85052</v>
      </c>
      <c r="K13" s="16">
        <v>-3019.5237440000001</v>
      </c>
      <c r="L13" s="16">
        <f t="shared" si="2"/>
        <v>1734.3267759999999</v>
      </c>
      <c r="M13" s="15">
        <v>5371.154646</v>
      </c>
      <c r="N13" s="16">
        <v>-3460.0180520000004</v>
      </c>
      <c r="O13" s="17">
        <f t="shared" si="3"/>
        <v>1911.1365939999996</v>
      </c>
      <c r="Q13" s="73"/>
    </row>
    <row r="14" spans="1:35" s="29" customFormat="1" ht="13.35" customHeight="1">
      <c r="A14" s="27"/>
      <c r="B14" s="30" t="s">
        <v>86</v>
      </c>
      <c r="C14" s="30"/>
      <c r="D14" s="15">
        <v>147252.55074200002</v>
      </c>
      <c r="E14" s="16">
        <v>-95668.081745000003</v>
      </c>
      <c r="F14" s="16">
        <f t="shared" si="0"/>
        <v>51584.468997000018</v>
      </c>
      <c r="G14" s="15">
        <v>164419.67045499998</v>
      </c>
      <c r="H14" s="16">
        <v>-106246.884615</v>
      </c>
      <c r="I14" s="16">
        <f t="shared" si="1"/>
        <v>58172.785839999982</v>
      </c>
      <c r="J14" s="15">
        <v>167989.21319400001</v>
      </c>
      <c r="K14" s="16">
        <v>-108469.862945</v>
      </c>
      <c r="L14" s="16">
        <f t="shared" si="2"/>
        <v>59519.35024900001</v>
      </c>
      <c r="M14" s="15">
        <v>185469.29034900002</v>
      </c>
      <c r="N14" s="16">
        <v>-119928.81948000001</v>
      </c>
      <c r="O14" s="17">
        <f t="shared" si="3"/>
        <v>65540.470869000012</v>
      </c>
      <c r="Q14" s="73"/>
    </row>
    <row r="15" spans="1:35" s="29" customFormat="1" ht="13.35" customHeight="1">
      <c r="A15" s="27"/>
      <c r="B15" s="30" t="s">
        <v>66</v>
      </c>
      <c r="C15" s="30"/>
      <c r="D15" s="15">
        <v>18563.252017999999</v>
      </c>
      <c r="E15" s="16">
        <v>-11721.361758000001</v>
      </c>
      <c r="F15" s="16">
        <f t="shared" si="0"/>
        <v>6841.8902599999983</v>
      </c>
      <c r="G15" s="15">
        <v>21828.247391999997</v>
      </c>
      <c r="H15" s="16">
        <v>-14560.618872000001</v>
      </c>
      <c r="I15" s="16">
        <f t="shared" si="1"/>
        <v>7267.6285199999966</v>
      </c>
      <c r="J15" s="15">
        <v>22570.666895999999</v>
      </c>
      <c r="K15" s="16">
        <v>-14333.033058999999</v>
      </c>
      <c r="L15" s="16">
        <f t="shared" si="2"/>
        <v>8237.6338369999994</v>
      </c>
      <c r="M15" s="15">
        <v>23110.491757</v>
      </c>
      <c r="N15" s="16">
        <v>-14262.654959</v>
      </c>
      <c r="O15" s="17">
        <f t="shared" si="3"/>
        <v>8847.8367980000003</v>
      </c>
      <c r="Q15" s="73"/>
    </row>
    <row r="16" spans="1:35" s="29" customFormat="1" ht="13.35" customHeight="1">
      <c r="A16" s="27"/>
      <c r="B16" s="30" t="s">
        <v>87</v>
      </c>
      <c r="C16" s="30"/>
      <c r="D16" s="15">
        <v>469.55781199999996</v>
      </c>
      <c r="E16" s="16">
        <v>-376.425906</v>
      </c>
      <c r="F16" s="16">
        <f t="shared" si="0"/>
        <v>93.131905999999958</v>
      </c>
      <c r="G16" s="15">
        <v>385.13257800000002</v>
      </c>
      <c r="H16" s="16">
        <v>-293.60027200000002</v>
      </c>
      <c r="I16" s="16">
        <f t="shared" si="1"/>
        <v>91.532306000000005</v>
      </c>
      <c r="J16" s="15">
        <v>455.315834</v>
      </c>
      <c r="K16" s="16">
        <v>-344.58958299999995</v>
      </c>
      <c r="L16" s="16">
        <f t="shared" si="2"/>
        <v>110.72625100000005</v>
      </c>
      <c r="M16" s="15">
        <v>436.22123499999998</v>
      </c>
      <c r="N16" s="16">
        <v>-329.05193700000001</v>
      </c>
      <c r="O16" s="17">
        <f t="shared" si="3"/>
        <v>107.16929799999997</v>
      </c>
      <c r="Q16" s="73"/>
    </row>
    <row r="17" spans="1:17" s="29" customFormat="1" ht="13.35" customHeight="1">
      <c r="A17" s="27"/>
      <c r="B17" s="30" t="s">
        <v>67</v>
      </c>
      <c r="C17" s="30"/>
      <c r="D17" s="15">
        <v>17060.609527000001</v>
      </c>
      <c r="E17" s="16">
        <v>-12549.417298</v>
      </c>
      <c r="F17" s="16">
        <f t="shared" si="0"/>
        <v>4511.1922290000002</v>
      </c>
      <c r="G17" s="15">
        <v>20129.061184999999</v>
      </c>
      <c r="H17" s="16">
        <v>-14406.254428</v>
      </c>
      <c r="I17" s="16">
        <f t="shared" si="1"/>
        <v>5722.8067569999985</v>
      </c>
      <c r="J17" s="15">
        <v>20036.527991999999</v>
      </c>
      <c r="K17" s="16">
        <v>-13251.334995000001</v>
      </c>
      <c r="L17" s="16">
        <f t="shared" si="2"/>
        <v>6785.1929969999983</v>
      </c>
      <c r="M17" s="15">
        <v>20817.318747999998</v>
      </c>
      <c r="N17" s="16">
        <v>-14059.052523999999</v>
      </c>
      <c r="O17" s="17">
        <f t="shared" si="3"/>
        <v>6758.2662239999991</v>
      </c>
      <c r="Q17" s="73"/>
    </row>
    <row r="18" spans="1:17" s="29" customFormat="1" ht="13.35" customHeight="1">
      <c r="A18" s="27"/>
      <c r="B18" s="30" t="s">
        <v>88</v>
      </c>
      <c r="C18" s="30"/>
      <c r="D18" s="15">
        <v>8323.3190879999984</v>
      </c>
      <c r="E18" s="16">
        <v>-4196.6764359999997</v>
      </c>
      <c r="F18" s="16">
        <f t="shared" si="0"/>
        <v>4126.6426519999986</v>
      </c>
      <c r="G18" s="15">
        <v>9477.7823050000006</v>
      </c>
      <c r="H18" s="16">
        <v>-4876.199482</v>
      </c>
      <c r="I18" s="16">
        <f t="shared" si="1"/>
        <v>4601.5828230000006</v>
      </c>
      <c r="J18" s="15">
        <v>10577.979947</v>
      </c>
      <c r="K18" s="16">
        <v>-5266.6008830000001</v>
      </c>
      <c r="L18" s="16">
        <f t="shared" si="2"/>
        <v>5311.3790639999997</v>
      </c>
      <c r="M18" s="15">
        <v>11593.543916999999</v>
      </c>
      <c r="N18" s="16">
        <v>-5832.8084670000007</v>
      </c>
      <c r="O18" s="17">
        <f t="shared" si="3"/>
        <v>5760.7354499999983</v>
      </c>
      <c r="Q18" s="73"/>
    </row>
    <row r="19" spans="1:17" s="29" customFormat="1" ht="13.35" customHeight="1">
      <c r="A19" s="27"/>
      <c r="B19" s="30" t="s">
        <v>139</v>
      </c>
      <c r="C19" s="30"/>
      <c r="D19" s="15">
        <v>16486.334202999999</v>
      </c>
      <c r="E19" s="16">
        <v>-12423.325359</v>
      </c>
      <c r="F19" s="16">
        <f t="shared" si="0"/>
        <v>4063.0088439999981</v>
      </c>
      <c r="G19" s="15">
        <v>19479.303870999996</v>
      </c>
      <c r="H19" s="16">
        <v>-14450.009785</v>
      </c>
      <c r="I19" s="16">
        <f t="shared" si="1"/>
        <v>5029.2940859999962</v>
      </c>
      <c r="J19" s="15">
        <v>15804.465485000001</v>
      </c>
      <c r="K19" s="16">
        <v>-11425.454536000001</v>
      </c>
      <c r="L19" s="16">
        <f t="shared" si="2"/>
        <v>4379.0109489999995</v>
      </c>
      <c r="M19" s="15">
        <v>15543.278894999999</v>
      </c>
      <c r="N19" s="16">
        <v>-11301.188137000001</v>
      </c>
      <c r="O19" s="17">
        <f t="shared" si="3"/>
        <v>4242.0907579999985</v>
      </c>
      <c r="Q19" s="73"/>
    </row>
    <row r="20" spans="1:17" s="29" customFormat="1" ht="13.35" customHeight="1">
      <c r="A20" s="27"/>
      <c r="B20" s="30" t="s">
        <v>68</v>
      </c>
      <c r="C20" s="30"/>
      <c r="D20" s="15">
        <v>17452.806863999998</v>
      </c>
      <c r="E20" s="16">
        <v>-11213.574198</v>
      </c>
      <c r="F20" s="16">
        <f t="shared" si="0"/>
        <v>6239.2326659999981</v>
      </c>
      <c r="G20" s="15">
        <v>23621.738568000001</v>
      </c>
      <c r="H20" s="16">
        <v>-14951.851906000002</v>
      </c>
      <c r="I20" s="16">
        <f t="shared" si="1"/>
        <v>8669.886661999999</v>
      </c>
      <c r="J20" s="15">
        <v>18382.476247999999</v>
      </c>
      <c r="K20" s="16">
        <v>-11986.872086000001</v>
      </c>
      <c r="L20" s="16">
        <f t="shared" si="2"/>
        <v>6395.6041619999978</v>
      </c>
      <c r="M20" s="15">
        <v>20194.870864</v>
      </c>
      <c r="N20" s="16">
        <v>-13398.615618</v>
      </c>
      <c r="O20" s="17">
        <f t="shared" si="3"/>
        <v>6796.2552460000006</v>
      </c>
      <c r="Q20" s="73"/>
    </row>
    <row r="21" spans="1:17" s="29" customFormat="1" ht="13.35" customHeight="1">
      <c r="A21" s="27"/>
      <c r="B21" s="30" t="s">
        <v>69</v>
      </c>
      <c r="C21" s="30"/>
      <c r="D21" s="15">
        <v>3898.3347959999996</v>
      </c>
      <c r="E21" s="16">
        <v>-2791.619721</v>
      </c>
      <c r="F21" s="16">
        <f t="shared" si="0"/>
        <v>1106.7150749999996</v>
      </c>
      <c r="G21" s="15">
        <v>4328.5281509999995</v>
      </c>
      <c r="H21" s="16">
        <v>-3101.0066240000001</v>
      </c>
      <c r="I21" s="16">
        <f t="shared" si="1"/>
        <v>1227.5215269999994</v>
      </c>
      <c r="J21" s="15">
        <v>4428.122993</v>
      </c>
      <c r="K21" s="16">
        <v>-3088.6108260000001</v>
      </c>
      <c r="L21" s="16">
        <f t="shared" si="2"/>
        <v>1339.5121669999999</v>
      </c>
      <c r="M21" s="15">
        <v>4925.9173179999998</v>
      </c>
      <c r="N21" s="16">
        <v>-3472.4916170000001</v>
      </c>
      <c r="O21" s="17">
        <f t="shared" si="3"/>
        <v>1453.4257009999997</v>
      </c>
      <c r="Q21" s="73"/>
    </row>
    <row r="22" spans="1:17" s="29" customFormat="1" ht="13.35" customHeight="1">
      <c r="A22" s="27"/>
      <c r="B22" s="30" t="s">
        <v>70</v>
      </c>
      <c r="C22" s="30"/>
      <c r="D22" s="15">
        <v>7425.6679779999995</v>
      </c>
      <c r="E22" s="16">
        <v>-5109.8914699999996</v>
      </c>
      <c r="F22" s="16">
        <f t="shared" si="0"/>
        <v>2315.7765079999999</v>
      </c>
      <c r="G22" s="15">
        <v>8002.9613079999999</v>
      </c>
      <c r="H22" s="16">
        <v>-5677.8800790000005</v>
      </c>
      <c r="I22" s="16">
        <f t="shared" si="1"/>
        <v>2325.0812289999994</v>
      </c>
      <c r="J22" s="15">
        <v>8424.0244170000005</v>
      </c>
      <c r="K22" s="16">
        <v>-5814.8609769999994</v>
      </c>
      <c r="L22" s="16">
        <f t="shared" si="2"/>
        <v>2609.1634400000012</v>
      </c>
      <c r="M22" s="15">
        <v>9020.3946230000001</v>
      </c>
      <c r="N22" s="16">
        <v>-6228.3371269999998</v>
      </c>
      <c r="O22" s="17">
        <f t="shared" si="3"/>
        <v>2792.0574960000004</v>
      </c>
      <c r="Q22" s="73"/>
    </row>
    <row r="23" spans="1:17" s="29" customFormat="1" ht="13.35" customHeight="1">
      <c r="A23" s="27"/>
      <c r="B23" s="30" t="s">
        <v>71</v>
      </c>
      <c r="C23" s="30"/>
      <c r="D23" s="15">
        <v>1178.4666220000001</v>
      </c>
      <c r="E23" s="16">
        <v>-639.707088</v>
      </c>
      <c r="F23" s="16">
        <f t="shared" si="0"/>
        <v>538.75953400000014</v>
      </c>
      <c r="G23" s="15">
        <v>1351.3476009999999</v>
      </c>
      <c r="H23" s="16">
        <v>-750.92064599999992</v>
      </c>
      <c r="I23" s="16">
        <f t="shared" si="1"/>
        <v>600.42695500000002</v>
      </c>
      <c r="J23" s="15">
        <v>1389.752737</v>
      </c>
      <c r="K23" s="16">
        <v>-761.07453899999996</v>
      </c>
      <c r="L23" s="16">
        <f t="shared" si="2"/>
        <v>628.67819800000007</v>
      </c>
      <c r="M23" s="15">
        <v>1474.507421</v>
      </c>
      <c r="N23" s="16">
        <v>-794.26076799999998</v>
      </c>
      <c r="O23" s="17">
        <f t="shared" si="3"/>
        <v>680.24665300000004</v>
      </c>
      <c r="Q23" s="73"/>
    </row>
    <row r="24" spans="1:17" s="29" customFormat="1" ht="13.35" customHeight="1">
      <c r="A24" s="27"/>
      <c r="B24" s="30" t="s">
        <v>103</v>
      </c>
      <c r="C24" s="30"/>
      <c r="D24" s="15">
        <v>4500.3770880000002</v>
      </c>
      <c r="E24" s="16">
        <v>-1871.2001210000001</v>
      </c>
      <c r="F24" s="16">
        <f t="shared" si="0"/>
        <v>2629.1769670000003</v>
      </c>
      <c r="G24" s="15">
        <v>1532.8055690000001</v>
      </c>
      <c r="H24" s="16">
        <v>-1017.957717</v>
      </c>
      <c r="I24" s="16">
        <f t="shared" si="1"/>
        <v>514.8478520000001</v>
      </c>
      <c r="J24" s="15">
        <v>2391.5977130000001</v>
      </c>
      <c r="K24" s="16">
        <v>-1558.517355</v>
      </c>
      <c r="L24" s="16">
        <f t="shared" si="2"/>
        <v>833.08035800000016</v>
      </c>
      <c r="M24" s="15">
        <v>4012.6674379999999</v>
      </c>
      <c r="N24" s="16">
        <v>-2831.6540599999998</v>
      </c>
      <c r="O24" s="17">
        <f t="shared" si="3"/>
        <v>1181.0133780000001</v>
      </c>
      <c r="Q24" s="73"/>
    </row>
    <row r="25" spans="1:17" s="29" customFormat="1" ht="13.35" customHeight="1">
      <c r="A25" s="27"/>
      <c r="B25" s="30" t="s">
        <v>89</v>
      </c>
      <c r="C25" s="30"/>
      <c r="D25" s="15">
        <v>3943.0165740000002</v>
      </c>
      <c r="E25" s="16">
        <v>-2265.7568470000001</v>
      </c>
      <c r="F25" s="16">
        <f t="shared" si="0"/>
        <v>1677.2597270000001</v>
      </c>
      <c r="G25" s="15">
        <v>4431.4697450000003</v>
      </c>
      <c r="H25" s="16">
        <v>-2507.4721180000001</v>
      </c>
      <c r="I25" s="16">
        <f t="shared" si="1"/>
        <v>1923.9976270000002</v>
      </c>
      <c r="J25" s="15">
        <v>5045.4696510000003</v>
      </c>
      <c r="K25" s="16">
        <v>-2821.3382780000002</v>
      </c>
      <c r="L25" s="16">
        <f t="shared" si="2"/>
        <v>2224.1313730000002</v>
      </c>
      <c r="M25" s="15">
        <v>5581.5063890000001</v>
      </c>
      <c r="N25" s="16">
        <v>-2958.965749</v>
      </c>
      <c r="O25" s="17">
        <f t="shared" si="3"/>
        <v>2622.5406400000002</v>
      </c>
      <c r="Q25" s="73"/>
    </row>
    <row r="26" spans="1:17" s="29" customFormat="1" ht="13.35" customHeight="1">
      <c r="A26" s="27"/>
      <c r="B26" s="30" t="s">
        <v>72</v>
      </c>
      <c r="C26" s="30"/>
      <c r="D26" s="15">
        <v>715.13358399999993</v>
      </c>
      <c r="E26" s="16">
        <v>-348.55161700000002</v>
      </c>
      <c r="F26" s="16">
        <f t="shared" si="0"/>
        <v>366.58196699999991</v>
      </c>
      <c r="G26" s="15">
        <v>813.31536199999994</v>
      </c>
      <c r="H26" s="16">
        <v>-415.26757999999995</v>
      </c>
      <c r="I26" s="16">
        <f t="shared" si="1"/>
        <v>398.04778199999998</v>
      </c>
      <c r="J26" s="15">
        <v>698.81266600000004</v>
      </c>
      <c r="K26" s="16">
        <v>-301.60199500000004</v>
      </c>
      <c r="L26" s="16">
        <f t="shared" si="2"/>
        <v>397.21067099999999</v>
      </c>
      <c r="M26" s="15">
        <v>779.96347000000003</v>
      </c>
      <c r="N26" s="16">
        <v>-349.83099799999997</v>
      </c>
      <c r="O26" s="17">
        <f t="shared" si="3"/>
        <v>430.13247200000006</v>
      </c>
      <c r="Q26" s="73"/>
    </row>
    <row r="27" spans="1:17" s="29" customFormat="1" ht="13.35" customHeight="1">
      <c r="A27" s="27"/>
      <c r="B27" s="30" t="s">
        <v>73</v>
      </c>
      <c r="C27" s="30"/>
      <c r="D27" s="15">
        <v>66124.846118000001</v>
      </c>
      <c r="E27" s="16">
        <v>-55829.313083000001</v>
      </c>
      <c r="F27" s="16">
        <f t="shared" si="0"/>
        <v>10295.533035</v>
      </c>
      <c r="G27" s="15">
        <v>70762.899037999989</v>
      </c>
      <c r="H27" s="16">
        <v>-59619.511843</v>
      </c>
      <c r="I27" s="16">
        <f t="shared" si="1"/>
        <v>11143.387194999988</v>
      </c>
      <c r="J27" s="15">
        <v>74708.767449999999</v>
      </c>
      <c r="K27" s="16">
        <v>-62915.360944</v>
      </c>
      <c r="L27" s="16">
        <f t="shared" si="2"/>
        <v>11793.406505999999</v>
      </c>
      <c r="M27" s="15">
        <v>84682.379734000002</v>
      </c>
      <c r="N27" s="16">
        <v>-71302.639534000002</v>
      </c>
      <c r="O27" s="17">
        <f t="shared" si="3"/>
        <v>13379.7402</v>
      </c>
      <c r="Q27" s="73"/>
    </row>
    <row r="28" spans="1:17" s="29" customFormat="1" ht="13.35" customHeight="1">
      <c r="A28" s="27"/>
      <c r="B28" s="30" t="s">
        <v>74</v>
      </c>
      <c r="C28" s="30"/>
      <c r="D28" s="15">
        <v>861.33068100000003</v>
      </c>
      <c r="E28" s="16">
        <v>-570.92683599999998</v>
      </c>
      <c r="F28" s="16">
        <f t="shared" si="0"/>
        <v>290.40384500000005</v>
      </c>
      <c r="G28" s="15">
        <v>943.06851099999994</v>
      </c>
      <c r="H28" s="16">
        <v>-625.31365600000004</v>
      </c>
      <c r="I28" s="16">
        <f t="shared" si="1"/>
        <v>317.75485499999991</v>
      </c>
      <c r="J28" s="15">
        <v>981.11907900000006</v>
      </c>
      <c r="K28" s="16">
        <v>-619.52736900000002</v>
      </c>
      <c r="L28" s="16">
        <f t="shared" si="2"/>
        <v>361.59171000000003</v>
      </c>
      <c r="M28" s="15">
        <v>1132.4755069999999</v>
      </c>
      <c r="N28" s="16">
        <v>-722.88695900000005</v>
      </c>
      <c r="O28" s="17">
        <f t="shared" si="3"/>
        <v>409.58854799999983</v>
      </c>
      <c r="Q28" s="73"/>
    </row>
    <row r="29" spans="1:17" s="29" customFormat="1" ht="13.35" customHeight="1">
      <c r="A29" s="27"/>
      <c r="B29" s="30" t="s">
        <v>75</v>
      </c>
      <c r="C29" s="30"/>
      <c r="D29" s="15">
        <v>675.75405599999999</v>
      </c>
      <c r="E29" s="16">
        <v>-338.21728200000001</v>
      </c>
      <c r="F29" s="16">
        <f t="shared" si="0"/>
        <v>337.53677399999998</v>
      </c>
      <c r="G29" s="15">
        <v>768.77637299999992</v>
      </c>
      <c r="H29" s="16">
        <v>-384.35299999999995</v>
      </c>
      <c r="I29" s="16">
        <f t="shared" si="1"/>
        <v>384.42337299999997</v>
      </c>
      <c r="J29" s="15">
        <v>802.83655700000008</v>
      </c>
      <c r="K29" s="16">
        <v>-391.58362199999999</v>
      </c>
      <c r="L29" s="16">
        <f t="shared" si="2"/>
        <v>411.25293500000009</v>
      </c>
      <c r="M29" s="15">
        <v>850.16062399999998</v>
      </c>
      <c r="N29" s="16">
        <v>-413.18329499999999</v>
      </c>
      <c r="O29" s="17">
        <f t="shared" si="3"/>
        <v>436.977329</v>
      </c>
      <c r="Q29" s="73"/>
    </row>
    <row r="30" spans="1:17" s="29" customFormat="1" ht="13.35" customHeight="1">
      <c r="A30" s="27"/>
      <c r="B30" s="30" t="s">
        <v>90</v>
      </c>
      <c r="C30" s="30"/>
      <c r="D30" s="15">
        <v>4608.8228300000001</v>
      </c>
      <c r="E30" s="16">
        <v>-3130.7995060000003</v>
      </c>
      <c r="F30" s="16">
        <f t="shared" si="0"/>
        <v>1478.0233239999998</v>
      </c>
      <c r="G30" s="15">
        <v>5439.3030840000001</v>
      </c>
      <c r="H30" s="16">
        <v>-3689.1124989999998</v>
      </c>
      <c r="I30" s="16">
        <f t="shared" si="1"/>
        <v>1750.1905850000003</v>
      </c>
      <c r="J30" s="15">
        <v>5300.9307989999998</v>
      </c>
      <c r="K30" s="16">
        <v>-3608.1128130000002</v>
      </c>
      <c r="L30" s="16">
        <f t="shared" si="2"/>
        <v>1692.8179859999996</v>
      </c>
      <c r="M30" s="15">
        <v>5453.5525450000005</v>
      </c>
      <c r="N30" s="16">
        <v>-3687.886951</v>
      </c>
      <c r="O30" s="17">
        <f t="shared" si="3"/>
        <v>1765.6655940000005</v>
      </c>
      <c r="Q30" s="73"/>
    </row>
    <row r="31" spans="1:17" s="29" customFormat="1" ht="13.35" customHeight="1">
      <c r="A31" s="27"/>
      <c r="B31" s="30" t="s">
        <v>2</v>
      </c>
      <c r="C31" s="30"/>
      <c r="D31" s="15">
        <v>2415.537104</v>
      </c>
      <c r="E31" s="16">
        <v>-1748.6772370000001</v>
      </c>
      <c r="F31" s="16">
        <f t="shared" si="0"/>
        <v>666.85986699999989</v>
      </c>
      <c r="G31" s="15">
        <v>2320.8702080000003</v>
      </c>
      <c r="H31" s="16">
        <v>-1654.9532840000002</v>
      </c>
      <c r="I31" s="16">
        <f t="shared" si="1"/>
        <v>665.91692400000011</v>
      </c>
      <c r="J31" s="15">
        <v>2768.7050850000001</v>
      </c>
      <c r="K31" s="16">
        <v>-1939.142527</v>
      </c>
      <c r="L31" s="16">
        <f t="shared" si="2"/>
        <v>829.56255800000008</v>
      </c>
      <c r="M31" s="15">
        <v>2827.3227420000003</v>
      </c>
      <c r="N31" s="16">
        <v>-1983.3216990000001</v>
      </c>
      <c r="O31" s="17">
        <f t="shared" si="3"/>
        <v>844.00104300000021</v>
      </c>
      <c r="Q31" s="73"/>
    </row>
    <row r="32" spans="1:17" s="29" customFormat="1" ht="13.35" customHeight="1">
      <c r="A32" s="27"/>
      <c r="B32" s="30" t="s">
        <v>76</v>
      </c>
      <c r="C32" s="30"/>
      <c r="D32" s="15">
        <v>1310.1139599999999</v>
      </c>
      <c r="E32" s="16">
        <v>-863.53080900000009</v>
      </c>
      <c r="F32" s="16">
        <f t="shared" si="0"/>
        <v>446.58315099999982</v>
      </c>
      <c r="G32" s="15">
        <v>1778.5018239999999</v>
      </c>
      <c r="H32" s="16">
        <v>-1200.8246669999999</v>
      </c>
      <c r="I32" s="16">
        <f t="shared" si="1"/>
        <v>577.67715700000008</v>
      </c>
      <c r="J32" s="15">
        <v>1433.0348900000001</v>
      </c>
      <c r="K32" s="16">
        <v>-905.41723000000002</v>
      </c>
      <c r="L32" s="16">
        <f t="shared" si="2"/>
        <v>527.61766000000011</v>
      </c>
      <c r="M32" s="15">
        <v>1554.651599</v>
      </c>
      <c r="N32" s="16">
        <v>-998.3635119999999</v>
      </c>
      <c r="O32" s="17">
        <f t="shared" si="3"/>
        <v>556.28808700000013</v>
      </c>
      <c r="Q32" s="73"/>
    </row>
    <row r="33" spans="1:17" s="29" customFormat="1" ht="13.35" customHeight="1">
      <c r="A33" s="27"/>
      <c r="B33" s="30" t="s">
        <v>77</v>
      </c>
      <c r="C33" s="30"/>
      <c r="D33" s="15">
        <v>27077.897854999999</v>
      </c>
      <c r="E33" s="16">
        <v>-17505.215568</v>
      </c>
      <c r="F33" s="16">
        <f t="shared" si="0"/>
        <v>9572.6822869999996</v>
      </c>
      <c r="G33" s="15">
        <v>31038.632141000002</v>
      </c>
      <c r="H33" s="16">
        <v>-20545.984021</v>
      </c>
      <c r="I33" s="16">
        <f t="shared" si="1"/>
        <v>10492.648120000002</v>
      </c>
      <c r="J33" s="15">
        <v>33200.793754000006</v>
      </c>
      <c r="K33" s="16">
        <v>-21149.023856</v>
      </c>
      <c r="L33" s="16">
        <f t="shared" si="2"/>
        <v>12051.769898000006</v>
      </c>
      <c r="M33" s="15">
        <v>36180.560761000001</v>
      </c>
      <c r="N33" s="16">
        <v>-23417.932930999999</v>
      </c>
      <c r="O33" s="17">
        <f t="shared" si="3"/>
        <v>12762.627830000001</v>
      </c>
      <c r="Q33" s="73"/>
    </row>
    <row r="34" spans="1:17" s="33" customFormat="1" ht="13.35" customHeight="1">
      <c r="A34" s="31"/>
      <c r="B34" s="32" t="s">
        <v>91</v>
      </c>
      <c r="C34" s="32"/>
      <c r="D34" s="15">
        <v>15238.959288999999</v>
      </c>
      <c r="E34" s="16">
        <v>-12703.844948</v>
      </c>
      <c r="F34" s="16">
        <f t="shared" si="0"/>
        <v>2535.1143409999986</v>
      </c>
      <c r="G34" s="15">
        <v>14078.752694000001</v>
      </c>
      <c r="H34" s="16">
        <v>-11412.686081</v>
      </c>
      <c r="I34" s="16">
        <f t="shared" si="1"/>
        <v>2666.0666130000009</v>
      </c>
      <c r="J34" s="15">
        <v>15363.852742000001</v>
      </c>
      <c r="K34" s="16">
        <v>-12059.609875</v>
      </c>
      <c r="L34" s="16">
        <f t="shared" si="2"/>
        <v>3304.2428670000008</v>
      </c>
      <c r="M34" s="15">
        <v>18356.783575000001</v>
      </c>
      <c r="N34" s="16">
        <v>-14807.390157</v>
      </c>
      <c r="O34" s="17">
        <f t="shared" si="3"/>
        <v>3549.3934180000015</v>
      </c>
      <c r="Q34" s="73"/>
    </row>
    <row r="35" spans="1:17" s="33" customFormat="1" ht="13.35" customHeight="1">
      <c r="A35" s="31"/>
      <c r="B35" s="32" t="s">
        <v>78</v>
      </c>
      <c r="C35" s="32"/>
      <c r="D35" s="15">
        <v>44447.727071000001</v>
      </c>
      <c r="E35" s="16">
        <v>-35946.024789000003</v>
      </c>
      <c r="F35" s="16">
        <f t="shared" si="0"/>
        <v>8501.7022819999984</v>
      </c>
      <c r="G35" s="15">
        <v>46920.499435000005</v>
      </c>
      <c r="H35" s="16">
        <v>-37807.946383000002</v>
      </c>
      <c r="I35" s="16">
        <f t="shared" si="1"/>
        <v>9112.5530520000029</v>
      </c>
      <c r="J35" s="15">
        <v>46821.830753999995</v>
      </c>
      <c r="K35" s="16">
        <v>-37433.667654999997</v>
      </c>
      <c r="L35" s="16">
        <f t="shared" si="2"/>
        <v>9388.1630989999976</v>
      </c>
      <c r="M35" s="15">
        <v>50099.313997000005</v>
      </c>
      <c r="N35" s="16">
        <v>-40252.225258999999</v>
      </c>
      <c r="O35" s="17">
        <f t="shared" si="3"/>
        <v>9847.0887380000058</v>
      </c>
      <c r="Q35" s="73"/>
    </row>
    <row r="36" spans="1:17" s="33" customFormat="1" ht="13.35" customHeight="1">
      <c r="A36" s="31"/>
      <c r="B36" s="32" t="s">
        <v>92</v>
      </c>
      <c r="C36" s="32"/>
      <c r="D36" s="15">
        <v>3291.0111359999996</v>
      </c>
      <c r="E36" s="16">
        <v>-2412.6359989999996</v>
      </c>
      <c r="F36" s="16">
        <f t="shared" si="0"/>
        <v>878.375137</v>
      </c>
      <c r="G36" s="15">
        <v>3400.9844289999996</v>
      </c>
      <c r="H36" s="16">
        <v>-2568.9143450000001</v>
      </c>
      <c r="I36" s="16">
        <f t="shared" si="1"/>
        <v>832.0700839999995</v>
      </c>
      <c r="J36" s="15">
        <v>3258.7833270000001</v>
      </c>
      <c r="K36" s="16">
        <v>-2410.8468809999999</v>
      </c>
      <c r="L36" s="16">
        <f t="shared" si="2"/>
        <v>847.93644600000016</v>
      </c>
      <c r="M36" s="15">
        <v>3295.6934299999998</v>
      </c>
      <c r="N36" s="16">
        <v>-2413.220006</v>
      </c>
      <c r="O36" s="17">
        <f t="shared" si="3"/>
        <v>882.4734239999998</v>
      </c>
      <c r="Q36" s="73"/>
    </row>
    <row r="37" spans="1:17" s="29" customFormat="1" ht="13.35" customHeight="1">
      <c r="A37" s="34"/>
      <c r="B37" s="35" t="s">
        <v>0</v>
      </c>
      <c r="C37" s="36"/>
      <c r="D37" s="37">
        <f t="shared" ref="D37:O37" si="4">SUM(D4:D36)</f>
        <v>550527.70178300003</v>
      </c>
      <c r="E37" s="38">
        <f t="shared" si="4"/>
        <v>-384753.53947000002</v>
      </c>
      <c r="F37" s="38">
        <f t="shared" si="4"/>
        <v>165774.16231300001</v>
      </c>
      <c r="G37" s="37">
        <f t="shared" si="4"/>
        <v>613543.01037199993</v>
      </c>
      <c r="H37" s="38">
        <f t="shared" si="4"/>
        <v>-426291.29208699998</v>
      </c>
      <c r="I37" s="38">
        <f t="shared" si="4"/>
        <v>187251.71828500001</v>
      </c>
      <c r="J37" s="37">
        <f t="shared" si="4"/>
        <v>616082.90770500014</v>
      </c>
      <c r="K37" s="38">
        <f t="shared" si="4"/>
        <v>-424864.86996800004</v>
      </c>
      <c r="L37" s="38">
        <f t="shared" si="4"/>
        <v>191218.03773700006</v>
      </c>
      <c r="M37" s="37">
        <f t="shared" si="4"/>
        <v>673730.71230699995</v>
      </c>
      <c r="N37" s="38">
        <f t="shared" si="4"/>
        <v>-467529.81554300012</v>
      </c>
      <c r="O37" s="39">
        <f t="shared" si="4"/>
        <v>206200.89676400003</v>
      </c>
    </row>
    <row r="38" spans="1:17" s="29" customFormat="1" ht="12" customHeight="1">
      <c r="B38" s="63"/>
    </row>
    <row r="39" spans="1:17" s="29" customFormat="1" ht="13.35" customHeight="1"/>
    <row r="40" spans="1:17" s="29" customFormat="1" ht="13.35" customHeight="1"/>
    <row r="41" spans="1:17" s="29" customFormat="1" ht="13.35" customHeight="1"/>
    <row r="42" spans="1:17" s="29" customFormat="1" ht="13.35" customHeight="1"/>
    <row r="43" spans="1:17" s="29" customFormat="1" ht="13.35" customHeight="1">
      <c r="M43" s="102"/>
      <c r="N43" s="102"/>
      <c r="O43" s="102"/>
    </row>
    <row r="44" spans="1:17" s="29" customFormat="1" ht="13.35" customHeight="1"/>
    <row r="45" spans="1:17" s="29" customFormat="1" ht="13.35" customHeight="1">
      <c r="B45" s="14"/>
      <c r="N45" s="105"/>
      <c r="O45" s="105"/>
    </row>
    <row r="46" spans="1:17" s="29" customFormat="1" ht="13.35" customHeight="1">
      <c r="B46" s="14"/>
      <c r="N46" s="105"/>
      <c r="O46" s="105"/>
    </row>
    <row r="47" spans="1:17" s="29" customFormat="1" ht="13.35" customHeight="1">
      <c r="B47" s="30"/>
    </row>
    <row r="48" spans="1:17" s="29" customFormat="1" ht="13.35" customHeight="1">
      <c r="B48" s="30"/>
    </row>
    <row r="49" spans="2:2" s="29" customFormat="1" ht="13.35" customHeight="1">
      <c r="B49" s="30"/>
    </row>
    <row r="50" spans="2:2" s="29" customFormat="1" ht="13.35" customHeight="1">
      <c r="B50" s="30"/>
    </row>
    <row r="51" spans="2:2" s="29" customFormat="1" ht="13.35" customHeight="1">
      <c r="B51" s="30"/>
    </row>
    <row r="52" spans="2:2" s="29" customFormat="1" ht="13.35" customHeight="1">
      <c r="B52" s="30"/>
    </row>
    <row r="53" spans="2:2" s="29" customFormat="1" ht="13.35" customHeight="1">
      <c r="B53" s="30"/>
    </row>
    <row r="54" spans="2:2" s="29" customFormat="1" ht="13.35" customHeight="1">
      <c r="B54" s="30"/>
    </row>
    <row r="55" spans="2:2" s="29" customFormat="1" ht="13.35" customHeight="1">
      <c r="B55" s="30"/>
    </row>
    <row r="56" spans="2:2" s="29" customFormat="1" ht="13.35" customHeight="1">
      <c r="B56" s="30"/>
    </row>
    <row r="57" spans="2:2" s="29" customFormat="1" ht="13.35" customHeight="1">
      <c r="B57" s="30"/>
    </row>
    <row r="58" spans="2:2" s="29" customFormat="1" ht="13.35" customHeight="1">
      <c r="B58" s="30"/>
    </row>
    <row r="59" spans="2:2" s="29" customFormat="1" ht="13.35" customHeight="1">
      <c r="B59" s="30"/>
    </row>
    <row r="60" spans="2:2" s="29" customFormat="1" ht="13.35" customHeight="1">
      <c r="B60" s="30"/>
    </row>
    <row r="61" spans="2:2" s="29" customFormat="1" ht="13.35" customHeight="1">
      <c r="B61" s="30"/>
    </row>
    <row r="62" spans="2:2" s="29" customFormat="1" ht="13.35" customHeight="1">
      <c r="B62" s="32"/>
    </row>
    <row r="63" spans="2:2" s="29" customFormat="1" ht="13.35" customHeight="1">
      <c r="B63" s="32"/>
    </row>
    <row r="64" spans="2:2" s="29" customFormat="1" ht="13.35" customHeight="1">
      <c r="B64" s="32"/>
    </row>
    <row r="65" spans="1:15" s="29" customFormat="1" ht="13.35" customHeight="1">
      <c r="A65" s="32"/>
      <c r="B65" s="32"/>
      <c r="M65" s="102"/>
      <c r="N65" s="102"/>
      <c r="O65" s="102"/>
    </row>
    <row r="66" spans="1:15" s="29" customFormat="1" ht="13.35" customHeight="1">
      <c r="A66" s="32"/>
      <c r="B66" s="32"/>
    </row>
    <row r="67" spans="1:15" s="29" customFormat="1" ht="13.35" customHeight="1">
      <c r="A67" s="32"/>
      <c r="B67" s="32"/>
    </row>
    <row r="68" spans="1:15" s="29" customFormat="1" ht="13.35" customHeight="1">
      <c r="A68" s="32"/>
      <c r="B68" s="32"/>
    </row>
    <row r="69" spans="1:15" s="29" customFormat="1" ht="13.35" customHeight="1">
      <c r="A69" s="32"/>
      <c r="B69" s="32"/>
    </row>
    <row r="70" spans="1:15" s="29" customFormat="1" ht="13.35" customHeight="1">
      <c r="A70" s="32"/>
      <c r="B70" s="32"/>
    </row>
    <row r="71" spans="1:15" s="29" customFormat="1" ht="13.35" customHeight="1">
      <c r="A71" s="32"/>
      <c r="B71" s="32"/>
      <c r="M71" s="102"/>
      <c r="N71" s="102"/>
      <c r="O71" s="102"/>
    </row>
    <row r="72" spans="1:15" s="29" customFormat="1" ht="13.35" customHeight="1">
      <c r="A72" s="32"/>
      <c r="B72" s="32"/>
      <c r="M72" s="102"/>
      <c r="N72" s="102"/>
      <c r="O72" s="102"/>
    </row>
    <row r="73" spans="1:15" s="29" customFormat="1" ht="13.35" customHeight="1">
      <c r="A73" s="32"/>
      <c r="B73" s="32"/>
      <c r="M73" s="102"/>
      <c r="N73" s="102"/>
      <c r="O73" s="102"/>
    </row>
    <row r="74" spans="1:15" s="29" customFormat="1" ht="13.35" customHeight="1">
      <c r="A74" s="32"/>
      <c r="B74" s="32"/>
      <c r="M74" s="102"/>
      <c r="N74" s="102"/>
      <c r="O74" s="102"/>
    </row>
    <row r="75" spans="1:15" s="29" customFormat="1" ht="13.35" customHeight="1">
      <c r="A75" s="32"/>
      <c r="B75" s="32"/>
      <c r="M75" s="102"/>
      <c r="N75" s="102"/>
      <c r="O75" s="102"/>
    </row>
    <row r="76" spans="1:15" s="29" customFormat="1" ht="13.35" customHeight="1">
      <c r="A76" s="32"/>
      <c r="B76" s="32"/>
      <c r="M76" s="102"/>
      <c r="N76" s="102"/>
      <c r="O76" s="102"/>
    </row>
    <row r="77" spans="1:15" s="29" customFormat="1" ht="13.35" customHeight="1">
      <c r="A77" s="32"/>
      <c r="B77" s="32"/>
      <c r="M77" s="102"/>
      <c r="N77" s="102"/>
      <c r="O77" s="102"/>
    </row>
    <row r="78" spans="1:15" s="29" customFormat="1" ht="13.35" customHeight="1">
      <c r="A78" s="32"/>
      <c r="B78" s="32"/>
      <c r="M78" s="102"/>
      <c r="N78" s="102"/>
      <c r="O78" s="102"/>
    </row>
    <row r="79" spans="1:15" s="29" customFormat="1" ht="13.35" customHeight="1">
      <c r="A79" s="32"/>
      <c r="B79" s="32"/>
      <c r="M79" s="102"/>
      <c r="N79" s="102"/>
      <c r="O79" s="102"/>
    </row>
    <row r="80" spans="1:15" s="29" customFormat="1" ht="13.35" customHeight="1">
      <c r="A80" s="32"/>
      <c r="B80" s="32"/>
      <c r="M80" s="102"/>
      <c r="N80" s="102"/>
      <c r="O80" s="102"/>
    </row>
    <row r="81" spans="1:15" s="29" customFormat="1" ht="13.35" customHeight="1">
      <c r="A81" s="32"/>
      <c r="B81" s="32"/>
      <c r="M81" s="102"/>
      <c r="N81" s="102"/>
      <c r="O81" s="102"/>
    </row>
    <row r="82" spans="1:15" s="29" customFormat="1" ht="13.35" customHeight="1">
      <c r="A82" s="32"/>
      <c r="B82" s="32"/>
      <c r="M82" s="102"/>
      <c r="N82" s="102"/>
      <c r="O82" s="102"/>
    </row>
    <row r="83" spans="1:15" s="29" customFormat="1" ht="13.35" customHeight="1">
      <c r="M83" s="102"/>
      <c r="N83" s="102"/>
      <c r="O83" s="102"/>
    </row>
    <row r="84" spans="1:15" s="29" customFormat="1" ht="13.35" customHeight="1">
      <c r="M84" s="102"/>
      <c r="N84" s="102"/>
      <c r="O84" s="102"/>
    </row>
    <row r="85" spans="1:15" s="29" customFormat="1" ht="13.35" customHeight="1">
      <c r="M85" s="102"/>
      <c r="N85" s="102"/>
      <c r="O85" s="102"/>
    </row>
    <row r="86" spans="1:15" s="29" customFormat="1" ht="13.35" customHeight="1">
      <c r="M86" s="102"/>
      <c r="N86" s="102"/>
      <c r="O86" s="102"/>
    </row>
    <row r="87" spans="1:15" s="29" customFormat="1" ht="13.35" customHeight="1">
      <c r="M87" s="102"/>
      <c r="N87" s="102"/>
      <c r="O87" s="102"/>
    </row>
    <row r="88" spans="1:15" s="29" customFormat="1" ht="13.35" customHeight="1">
      <c r="M88" s="102"/>
      <c r="N88" s="102"/>
      <c r="O88" s="102"/>
    </row>
    <row r="89" spans="1:15" s="29" customFormat="1" ht="13.35" customHeight="1">
      <c r="M89" s="102"/>
      <c r="N89" s="102"/>
      <c r="O89" s="102"/>
    </row>
    <row r="90" spans="1:15" s="29" customFormat="1" ht="13.35" customHeight="1">
      <c r="M90" s="102"/>
      <c r="N90" s="102"/>
      <c r="O90" s="102"/>
    </row>
    <row r="91" spans="1:15" s="29" customFormat="1" ht="13.35" customHeight="1">
      <c r="M91" s="102"/>
      <c r="N91" s="102"/>
      <c r="O91" s="102"/>
    </row>
    <row r="92" spans="1:15" s="29" customFormat="1" ht="13.35" customHeight="1">
      <c r="M92" s="102"/>
      <c r="N92" s="102"/>
      <c r="O92" s="102"/>
    </row>
    <row r="93" spans="1:15" s="29" customFormat="1" ht="13.35" customHeight="1">
      <c r="M93" s="102"/>
      <c r="N93" s="102"/>
      <c r="O93" s="102"/>
    </row>
    <row r="94" spans="1:15" s="29" customFormat="1" ht="13.35" customHeight="1">
      <c r="M94" s="102"/>
      <c r="N94" s="102"/>
      <c r="O94" s="102"/>
    </row>
    <row r="95" spans="1:15" s="29" customFormat="1" ht="13.35" customHeight="1">
      <c r="M95" s="102"/>
      <c r="N95" s="102"/>
      <c r="O95" s="102"/>
    </row>
    <row r="96" spans="1:15" s="29" customFormat="1" ht="13.35" customHeight="1">
      <c r="M96" s="102"/>
      <c r="N96" s="102"/>
      <c r="O96" s="102"/>
    </row>
    <row r="97" spans="13:15" s="29" customFormat="1" ht="13.35" customHeight="1">
      <c r="M97" s="102"/>
      <c r="N97" s="102"/>
      <c r="O97" s="102"/>
    </row>
    <row r="98" spans="13:15" s="29" customFormat="1" ht="13.35" customHeight="1">
      <c r="M98" s="102"/>
      <c r="N98" s="102"/>
      <c r="O98" s="102"/>
    </row>
    <row r="99" spans="13:15" s="29" customFormat="1" ht="13.35" customHeight="1">
      <c r="M99" s="102"/>
      <c r="N99" s="102"/>
      <c r="O99" s="102"/>
    </row>
    <row r="100" spans="13:15" s="29" customFormat="1" ht="13.35" customHeight="1">
      <c r="M100" s="102"/>
      <c r="N100" s="102"/>
      <c r="O100" s="102"/>
    </row>
    <row r="101" spans="13:15" s="29" customFormat="1" ht="13.35" customHeight="1">
      <c r="M101" s="102"/>
      <c r="N101" s="102"/>
      <c r="O101" s="102"/>
    </row>
    <row r="102" spans="13:15" s="29" customFormat="1" ht="13.35" customHeight="1">
      <c r="N102" s="102"/>
      <c r="O102" s="102"/>
    </row>
    <row r="103" spans="13:15" s="29" customFormat="1" ht="13.35" customHeight="1"/>
    <row r="104" spans="13:15" s="29" customFormat="1" ht="13.35" customHeight="1">
      <c r="N104" s="101"/>
      <c r="O104" s="101"/>
    </row>
    <row r="105" spans="13:15" s="29" customFormat="1" ht="13.35" customHeight="1"/>
    <row r="106" spans="13:15" s="29" customFormat="1" ht="13.35" customHeight="1"/>
    <row r="107" spans="13:15" s="29" customFormat="1" ht="13.35" customHeight="1"/>
    <row r="108" spans="13:15" s="29" customFormat="1" ht="13.35" customHeight="1"/>
    <row r="109" spans="13:15" s="29" customFormat="1" ht="13.35" customHeight="1"/>
    <row r="110" spans="13:15" s="29" customFormat="1" ht="13.35" customHeight="1"/>
    <row r="111" spans="13:15" s="29" customFormat="1" ht="13.35" customHeight="1"/>
    <row r="112" spans="13:15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pans="2:8" s="29" customFormat="1" ht="13.35" customHeight="1"/>
    <row r="3266" spans="2:8" s="29" customFormat="1" ht="13.35" customHeight="1"/>
    <row r="3267" spans="2:8" s="29" customFormat="1" ht="13.35" customHeight="1"/>
    <row r="3268" spans="2:8" s="29" customFormat="1" ht="13.35" customHeight="1"/>
    <row r="3269" spans="2:8" s="29" customFormat="1" ht="13.35" customHeight="1"/>
    <row r="3270" spans="2:8" s="29" customFormat="1" ht="13.35" customHeight="1"/>
    <row r="3271" spans="2:8" s="29" customFormat="1" ht="13.35" customHeight="1"/>
    <row r="3272" spans="2:8" s="29" customFormat="1" ht="13.35" customHeight="1"/>
    <row r="3273" spans="2:8" s="29" customFormat="1" ht="13.35" customHeight="1"/>
    <row r="3274" spans="2:8" s="29" customFormat="1" ht="13.35" customHeight="1"/>
    <row r="3275" spans="2:8" s="29" customFormat="1" ht="13.35" customHeight="1"/>
    <row r="3276" spans="2:8" s="29" customFormat="1" ht="13.35" customHeight="1"/>
    <row r="3277" spans="2:8">
      <c r="B3277" s="29"/>
      <c r="C3277" s="29"/>
      <c r="D3277" s="29"/>
      <c r="E3277" s="29"/>
      <c r="F3277" s="29"/>
      <c r="G3277" s="29"/>
      <c r="H3277" s="29"/>
    </row>
  </sheetData>
  <mergeCells count="1">
    <mergeCell ref="B3:C3"/>
  </mergeCells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3277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137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22.5" customHeight="1">
      <c r="A3" s="59"/>
      <c r="B3" s="241" t="s">
        <v>93</v>
      </c>
      <c r="C3" s="237"/>
      <c r="D3" s="60" t="s">
        <v>130</v>
      </c>
      <c r="E3" s="61" t="s">
        <v>129</v>
      </c>
      <c r="F3" s="61" t="s">
        <v>131</v>
      </c>
      <c r="G3" s="60" t="s">
        <v>130</v>
      </c>
      <c r="H3" s="61" t="s">
        <v>129</v>
      </c>
      <c r="I3" s="61" t="s">
        <v>131</v>
      </c>
      <c r="J3" s="60" t="s">
        <v>130</v>
      </c>
      <c r="K3" s="61" t="s">
        <v>129</v>
      </c>
      <c r="L3" s="61" t="s">
        <v>131</v>
      </c>
      <c r="M3" s="60" t="s">
        <v>130</v>
      </c>
      <c r="N3" s="61" t="s">
        <v>129</v>
      </c>
      <c r="O3" s="62" t="s">
        <v>131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15">
        <v>8396.5805600000003</v>
      </c>
      <c r="E4" s="16">
        <v>-15519.789693000001</v>
      </c>
      <c r="F4" s="16">
        <f t="shared" ref="F4:F36" si="0">SUM(D4:E4)</f>
        <v>-7123.2091330000003</v>
      </c>
      <c r="G4" s="15">
        <v>9518.9266690000004</v>
      </c>
      <c r="H4" s="16">
        <v>-19420.234509000002</v>
      </c>
      <c r="I4" s="16">
        <f t="shared" ref="I4:I36" si="1">SUM(G4:H4)</f>
        <v>-9901.3078400000013</v>
      </c>
      <c r="J4" s="15">
        <v>8031.7160649999996</v>
      </c>
      <c r="K4" s="16">
        <v>-15861.106153000001</v>
      </c>
      <c r="L4" s="16">
        <f t="shared" ref="L4:L36" si="2">SUM(J4:K4)</f>
        <v>-7829.390088000001</v>
      </c>
      <c r="M4" s="15">
        <v>8115.147105</v>
      </c>
      <c r="N4" s="16">
        <v>-16149.15158</v>
      </c>
      <c r="O4" s="160">
        <f t="shared" ref="O4:O36" si="3">SUM(M4:N4)</f>
        <v>-8034.0044749999997</v>
      </c>
      <c r="Q4" s="73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15">
        <v>8141.1465879999996</v>
      </c>
      <c r="E5" s="16">
        <v>-15354.773963</v>
      </c>
      <c r="F5" s="16">
        <f t="shared" si="0"/>
        <v>-7213.627375</v>
      </c>
      <c r="G5" s="15">
        <v>13730.194659000001</v>
      </c>
      <c r="H5" s="16">
        <v>-25024.437591000002</v>
      </c>
      <c r="I5" s="16">
        <f t="shared" si="1"/>
        <v>-11294.242932000001</v>
      </c>
      <c r="J5" s="15">
        <v>11521.348604000001</v>
      </c>
      <c r="K5" s="16">
        <v>-22259.124406999999</v>
      </c>
      <c r="L5" s="16">
        <f t="shared" si="2"/>
        <v>-10737.775802999999</v>
      </c>
      <c r="M5" s="15">
        <v>12515.498776</v>
      </c>
      <c r="N5" s="16">
        <v>-21834.891608000002</v>
      </c>
      <c r="O5" s="160">
        <f t="shared" si="3"/>
        <v>-9319.3928320000014</v>
      </c>
      <c r="Q5" s="73"/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15">
        <v>278.501645</v>
      </c>
      <c r="E6" s="16">
        <v>-621.52387399999998</v>
      </c>
      <c r="F6" s="16">
        <f t="shared" si="0"/>
        <v>-343.02222899999998</v>
      </c>
      <c r="G6" s="15">
        <v>379.742434</v>
      </c>
      <c r="H6" s="16">
        <v>-842.759772</v>
      </c>
      <c r="I6" s="16">
        <f t="shared" si="1"/>
        <v>-463.017338</v>
      </c>
      <c r="J6" s="15">
        <v>349.099763</v>
      </c>
      <c r="K6" s="16">
        <v>-644.17607899999996</v>
      </c>
      <c r="L6" s="16">
        <f t="shared" si="2"/>
        <v>-295.07631599999996</v>
      </c>
      <c r="M6" s="15">
        <v>275.283005</v>
      </c>
      <c r="N6" s="16">
        <v>-577.39546600000006</v>
      </c>
      <c r="O6" s="160">
        <f t="shared" si="3"/>
        <v>-302.11246100000005</v>
      </c>
      <c r="Q6" s="73"/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15">
        <v>614.32377199999996</v>
      </c>
      <c r="E7" s="16">
        <v>-1331.6608189999999</v>
      </c>
      <c r="F7" s="16">
        <f t="shared" si="0"/>
        <v>-717.33704699999998</v>
      </c>
      <c r="G7" s="15">
        <v>719.64299200000005</v>
      </c>
      <c r="H7" s="16">
        <v>-1536.0513109999999</v>
      </c>
      <c r="I7" s="16">
        <f t="shared" si="1"/>
        <v>-816.40831899999989</v>
      </c>
      <c r="J7" s="15">
        <v>756.67118500000004</v>
      </c>
      <c r="K7" s="16">
        <v>-1556.6356149999999</v>
      </c>
      <c r="L7" s="16">
        <f t="shared" si="2"/>
        <v>-799.96442999999988</v>
      </c>
      <c r="M7" s="15">
        <v>729.20741499999997</v>
      </c>
      <c r="N7" s="16">
        <v>-1403.4786670000001</v>
      </c>
      <c r="O7" s="160">
        <f t="shared" si="3"/>
        <v>-674.27125200000012</v>
      </c>
      <c r="Q7" s="73"/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15">
        <v>5634.3596600000001</v>
      </c>
      <c r="E8" s="16">
        <v>-7406.4120130000001</v>
      </c>
      <c r="F8" s="16">
        <f t="shared" si="0"/>
        <v>-1772.052353</v>
      </c>
      <c r="G8" s="15">
        <v>8579.4211309999991</v>
      </c>
      <c r="H8" s="16">
        <v>-11839.86996</v>
      </c>
      <c r="I8" s="16">
        <f t="shared" si="1"/>
        <v>-3260.4488290000008</v>
      </c>
      <c r="J8" s="15">
        <v>5273.7851840000003</v>
      </c>
      <c r="K8" s="16">
        <v>-7107.6334960000004</v>
      </c>
      <c r="L8" s="16">
        <f t="shared" si="2"/>
        <v>-1833.8483120000001</v>
      </c>
      <c r="M8" s="15">
        <v>6495.2284449999997</v>
      </c>
      <c r="N8" s="16">
        <v>-9007.7965879999992</v>
      </c>
      <c r="O8" s="160">
        <f t="shared" si="3"/>
        <v>-2512.5681429999995</v>
      </c>
      <c r="Q8" s="73"/>
    </row>
    <row r="9" spans="1:35" ht="13.35" customHeight="1">
      <c r="A9" s="13"/>
      <c r="B9" s="14" t="s">
        <v>64</v>
      </c>
      <c r="C9" s="14"/>
      <c r="D9" s="15">
        <v>267.20080999999999</v>
      </c>
      <c r="E9" s="16">
        <v>-373.60427199999998</v>
      </c>
      <c r="F9" s="16">
        <f t="shared" si="0"/>
        <v>-106.40346199999999</v>
      </c>
      <c r="G9" s="15">
        <v>390.38940200000002</v>
      </c>
      <c r="H9" s="16">
        <v>-512.266572</v>
      </c>
      <c r="I9" s="16">
        <f t="shared" si="1"/>
        <v>-121.87716999999998</v>
      </c>
      <c r="J9" s="15">
        <v>320.30492900000002</v>
      </c>
      <c r="K9" s="16">
        <v>-411.51621899999998</v>
      </c>
      <c r="L9" s="16">
        <f t="shared" si="2"/>
        <v>-91.211289999999963</v>
      </c>
      <c r="M9" s="15">
        <v>373.77273000000002</v>
      </c>
      <c r="N9" s="16">
        <v>-486.74700799999999</v>
      </c>
      <c r="O9" s="160">
        <f t="shared" si="3"/>
        <v>-112.97427799999997</v>
      </c>
      <c r="Q9" s="73"/>
    </row>
    <row r="10" spans="1:35" ht="13.35" customHeight="1">
      <c r="A10" s="13"/>
      <c r="B10" s="14" t="s">
        <v>84</v>
      </c>
      <c r="C10" s="14"/>
      <c r="D10" s="15">
        <v>2868.9059350000002</v>
      </c>
      <c r="E10" s="16">
        <v>-6711.5867509999998</v>
      </c>
      <c r="F10" s="16">
        <f t="shared" si="0"/>
        <v>-3842.6808159999996</v>
      </c>
      <c r="G10" s="15">
        <v>3866.8883940000001</v>
      </c>
      <c r="H10" s="16">
        <v>-8348.4169459999994</v>
      </c>
      <c r="I10" s="16">
        <f t="shared" si="1"/>
        <v>-4481.5285519999998</v>
      </c>
      <c r="J10" s="15">
        <v>2508.546832</v>
      </c>
      <c r="K10" s="16">
        <v>-5773.288724</v>
      </c>
      <c r="L10" s="16">
        <f t="shared" si="2"/>
        <v>-3264.741892</v>
      </c>
      <c r="M10" s="15">
        <v>3271.7444529999998</v>
      </c>
      <c r="N10" s="16">
        <v>-7644.5457370000004</v>
      </c>
      <c r="O10" s="160">
        <f t="shared" si="3"/>
        <v>-4372.801284000001</v>
      </c>
      <c r="Q10" s="73"/>
    </row>
    <row r="11" spans="1:35" s="29" customFormat="1" ht="13.35" customHeight="1">
      <c r="A11" s="27"/>
      <c r="B11" s="28" t="s">
        <v>1</v>
      </c>
      <c r="C11" s="28"/>
      <c r="D11" s="15">
        <v>3886.8313429999998</v>
      </c>
      <c r="E11" s="16">
        <v>-7544.723035</v>
      </c>
      <c r="F11" s="16">
        <f t="shared" si="0"/>
        <v>-3657.8916920000001</v>
      </c>
      <c r="G11" s="15">
        <v>5447.7063029999999</v>
      </c>
      <c r="H11" s="16">
        <v>-9970.6085980000007</v>
      </c>
      <c r="I11" s="16">
        <f t="shared" si="1"/>
        <v>-4522.9022950000008</v>
      </c>
      <c r="J11" s="15">
        <v>5038.1510699999999</v>
      </c>
      <c r="K11" s="16">
        <v>-9173.463205</v>
      </c>
      <c r="L11" s="16">
        <f t="shared" si="2"/>
        <v>-4135.3121350000001</v>
      </c>
      <c r="M11" s="15">
        <v>4824.1732529999999</v>
      </c>
      <c r="N11" s="16">
        <v>-8354.0653760000005</v>
      </c>
      <c r="O11" s="160">
        <f t="shared" si="3"/>
        <v>-3529.8921230000005</v>
      </c>
      <c r="Q11" s="73"/>
    </row>
    <row r="12" spans="1:35" s="29" customFormat="1" ht="13.35" customHeight="1">
      <c r="A12" s="27"/>
      <c r="B12" s="28" t="s">
        <v>65</v>
      </c>
      <c r="C12" s="28"/>
      <c r="D12" s="15">
        <v>122.648076</v>
      </c>
      <c r="E12" s="16">
        <v>-278.12536999999998</v>
      </c>
      <c r="F12" s="16">
        <f t="shared" si="0"/>
        <v>-155.47729399999997</v>
      </c>
      <c r="G12" s="15">
        <v>140.41993500000001</v>
      </c>
      <c r="H12" s="16">
        <v>-329.69692900000001</v>
      </c>
      <c r="I12" s="16">
        <f t="shared" si="1"/>
        <v>-189.276994</v>
      </c>
      <c r="J12" s="15">
        <v>145.71927199999999</v>
      </c>
      <c r="K12" s="16">
        <v>-374.12603799999999</v>
      </c>
      <c r="L12" s="16">
        <f t="shared" si="2"/>
        <v>-228.406766</v>
      </c>
      <c r="M12" s="15">
        <v>147.4178</v>
      </c>
      <c r="N12" s="16">
        <v>-441.05874799999998</v>
      </c>
      <c r="O12" s="160">
        <f t="shared" si="3"/>
        <v>-293.64094799999998</v>
      </c>
      <c r="Q12" s="73"/>
    </row>
    <row r="13" spans="1:35" s="29" customFormat="1" ht="13.35" customHeight="1">
      <c r="A13" s="27"/>
      <c r="B13" s="30" t="s">
        <v>85</v>
      </c>
      <c r="C13" s="30"/>
      <c r="D13" s="15">
        <v>841.61721799999998</v>
      </c>
      <c r="E13" s="16">
        <v>-1322.3922500000001</v>
      </c>
      <c r="F13" s="16">
        <f t="shared" si="0"/>
        <v>-480.77503200000012</v>
      </c>
      <c r="G13" s="15">
        <v>939.92711999999995</v>
      </c>
      <c r="H13" s="16">
        <v>-1390.388447</v>
      </c>
      <c r="I13" s="16">
        <f t="shared" si="1"/>
        <v>-450.4613270000001</v>
      </c>
      <c r="J13" s="15">
        <v>710.70443899999998</v>
      </c>
      <c r="K13" s="16">
        <v>-1186.3201670000001</v>
      </c>
      <c r="L13" s="16">
        <f t="shared" si="2"/>
        <v>-475.6157280000001</v>
      </c>
      <c r="M13" s="15">
        <v>1001.067579</v>
      </c>
      <c r="N13" s="16">
        <v>-1395.200429</v>
      </c>
      <c r="O13" s="160">
        <f t="shared" si="3"/>
        <v>-394.13284999999996</v>
      </c>
      <c r="Q13" s="73"/>
    </row>
    <row r="14" spans="1:35" s="29" customFormat="1" ht="13.35" customHeight="1">
      <c r="A14" s="27"/>
      <c r="B14" s="30" t="s">
        <v>86</v>
      </c>
      <c r="C14" s="30"/>
      <c r="D14" s="15">
        <v>25031.768332</v>
      </c>
      <c r="E14" s="16">
        <v>-44327.140684999998</v>
      </c>
      <c r="F14" s="16">
        <f t="shared" si="0"/>
        <v>-19295.372352999999</v>
      </c>
      <c r="G14" s="15">
        <v>32799.946972999998</v>
      </c>
      <c r="H14" s="16">
        <v>-55636.438071999997</v>
      </c>
      <c r="I14" s="16">
        <f t="shared" si="1"/>
        <v>-22836.491098999999</v>
      </c>
      <c r="J14" s="15">
        <v>27925.178822999998</v>
      </c>
      <c r="K14" s="16">
        <v>-45452.702728999997</v>
      </c>
      <c r="L14" s="16">
        <f t="shared" si="2"/>
        <v>-17527.523905999999</v>
      </c>
      <c r="M14" s="15">
        <v>27745.509975000001</v>
      </c>
      <c r="N14" s="16">
        <v>-44589.835894999997</v>
      </c>
      <c r="O14" s="160">
        <f t="shared" si="3"/>
        <v>-16844.325919999996</v>
      </c>
      <c r="Q14" s="73"/>
    </row>
    <row r="15" spans="1:35" s="29" customFormat="1" ht="13.35" customHeight="1">
      <c r="A15" s="27"/>
      <c r="B15" s="30" t="s">
        <v>66</v>
      </c>
      <c r="C15" s="30"/>
      <c r="D15" s="15">
        <v>4005.3593580000002</v>
      </c>
      <c r="E15" s="16">
        <v>-6054.3168770000002</v>
      </c>
      <c r="F15" s="16">
        <f t="shared" si="0"/>
        <v>-2048.957519</v>
      </c>
      <c r="G15" s="15">
        <v>5456.7074400000001</v>
      </c>
      <c r="H15" s="16">
        <v>-8429.4029759999994</v>
      </c>
      <c r="I15" s="16">
        <f t="shared" si="1"/>
        <v>-2972.6955359999993</v>
      </c>
      <c r="J15" s="15">
        <v>4882.5507829999997</v>
      </c>
      <c r="K15" s="16">
        <v>-7642.6139309999999</v>
      </c>
      <c r="L15" s="16">
        <f t="shared" si="2"/>
        <v>-2760.0631480000002</v>
      </c>
      <c r="M15" s="15">
        <v>5468.7168099999999</v>
      </c>
      <c r="N15" s="16">
        <v>-8410.9742459999998</v>
      </c>
      <c r="O15" s="160">
        <f t="shared" si="3"/>
        <v>-2942.2574359999999</v>
      </c>
      <c r="Q15" s="73"/>
    </row>
    <row r="16" spans="1:35" s="29" customFormat="1" ht="13.35" customHeight="1">
      <c r="A16" s="27"/>
      <c r="B16" s="30" t="s">
        <v>87</v>
      </c>
      <c r="C16" s="30"/>
      <c r="D16" s="15">
        <v>143.53342799999999</v>
      </c>
      <c r="E16" s="16">
        <v>-240.34628699999999</v>
      </c>
      <c r="F16" s="16">
        <f t="shared" si="0"/>
        <v>-96.812859000000003</v>
      </c>
      <c r="G16" s="15">
        <v>173.18232</v>
      </c>
      <c r="H16" s="16">
        <v>-253.614968</v>
      </c>
      <c r="I16" s="16">
        <f t="shared" si="1"/>
        <v>-80.432648</v>
      </c>
      <c r="J16" s="15">
        <v>63.439615000000003</v>
      </c>
      <c r="K16" s="16">
        <v>-115.36432499999999</v>
      </c>
      <c r="L16" s="16">
        <f t="shared" si="2"/>
        <v>-51.92470999999999</v>
      </c>
      <c r="M16" s="15">
        <v>112.945408</v>
      </c>
      <c r="N16" s="16">
        <v>-181.03215599999999</v>
      </c>
      <c r="O16" s="160">
        <f t="shared" si="3"/>
        <v>-68.086747999999986</v>
      </c>
      <c r="Q16" s="73"/>
    </row>
    <row r="17" spans="1:17" s="29" customFormat="1" ht="13.35" customHeight="1">
      <c r="A17" s="27"/>
      <c r="B17" s="30" t="s">
        <v>67</v>
      </c>
      <c r="C17" s="30"/>
      <c r="D17" s="15">
        <v>4372.3021070000004</v>
      </c>
      <c r="E17" s="16">
        <v>-6371.9846299999999</v>
      </c>
      <c r="F17" s="16">
        <f t="shared" si="0"/>
        <v>-1999.6825229999995</v>
      </c>
      <c r="G17" s="15">
        <v>5829.1886340000001</v>
      </c>
      <c r="H17" s="16">
        <v>-8484.3258389999992</v>
      </c>
      <c r="I17" s="16">
        <f t="shared" si="1"/>
        <v>-2655.1372049999991</v>
      </c>
      <c r="J17" s="15">
        <v>2847.6557299999999</v>
      </c>
      <c r="K17" s="16">
        <v>-4267.2678809999998</v>
      </c>
      <c r="L17" s="16">
        <f t="shared" si="2"/>
        <v>-1419.6121509999998</v>
      </c>
      <c r="M17" s="15">
        <v>3581.0861559999998</v>
      </c>
      <c r="N17" s="16">
        <v>-5493.3585700000003</v>
      </c>
      <c r="O17" s="160">
        <f t="shared" si="3"/>
        <v>-1912.2724140000005</v>
      </c>
      <c r="Q17" s="73"/>
    </row>
    <row r="18" spans="1:17" s="29" customFormat="1" ht="13.35" customHeight="1">
      <c r="A18" s="27"/>
      <c r="B18" s="30" t="s">
        <v>88</v>
      </c>
      <c r="C18" s="30"/>
      <c r="D18" s="15">
        <v>380.00692600000002</v>
      </c>
      <c r="E18" s="16">
        <v>-687.50376800000004</v>
      </c>
      <c r="F18" s="16">
        <f t="shared" si="0"/>
        <v>-307.49684200000002</v>
      </c>
      <c r="G18" s="15">
        <v>467.83364599999999</v>
      </c>
      <c r="H18" s="16">
        <v>-848.22560899999996</v>
      </c>
      <c r="I18" s="16">
        <f t="shared" si="1"/>
        <v>-380.39196299999998</v>
      </c>
      <c r="J18" s="15">
        <v>508.07311199999998</v>
      </c>
      <c r="K18" s="16">
        <v>-871.83610699999997</v>
      </c>
      <c r="L18" s="16">
        <f t="shared" si="2"/>
        <v>-363.76299499999999</v>
      </c>
      <c r="M18" s="15">
        <v>387.12910699999998</v>
      </c>
      <c r="N18" s="16">
        <v>-704.28853700000002</v>
      </c>
      <c r="O18" s="160">
        <f t="shared" si="3"/>
        <v>-317.15943000000004</v>
      </c>
      <c r="Q18" s="73"/>
    </row>
    <row r="19" spans="1:17" s="29" customFormat="1" ht="13.35" customHeight="1">
      <c r="A19" s="27"/>
      <c r="B19" s="30" t="s">
        <v>139</v>
      </c>
      <c r="C19" s="30"/>
      <c r="D19" s="15">
        <v>5775.6958709999999</v>
      </c>
      <c r="E19" s="16">
        <v>-11318.100466</v>
      </c>
      <c r="F19" s="16">
        <f t="shared" si="0"/>
        <v>-5542.404595</v>
      </c>
      <c r="G19" s="15">
        <v>7772.1625309999999</v>
      </c>
      <c r="H19" s="16">
        <v>-14192.578600999999</v>
      </c>
      <c r="I19" s="16">
        <f t="shared" si="1"/>
        <v>-6420.4160699999993</v>
      </c>
      <c r="J19" s="15">
        <v>4680.4663049999999</v>
      </c>
      <c r="K19" s="16">
        <v>-9348.9180109999998</v>
      </c>
      <c r="L19" s="16">
        <f t="shared" si="2"/>
        <v>-4668.4517059999998</v>
      </c>
      <c r="M19" s="15">
        <v>6105.4053969999995</v>
      </c>
      <c r="N19" s="16">
        <v>-11211.804633</v>
      </c>
      <c r="O19" s="160">
        <f t="shared" si="3"/>
        <v>-5106.3992360000002</v>
      </c>
      <c r="Q19" s="73"/>
    </row>
    <row r="20" spans="1:17" s="29" customFormat="1" ht="13.35" customHeight="1">
      <c r="A20" s="27"/>
      <c r="B20" s="30" t="s">
        <v>68</v>
      </c>
      <c r="C20" s="30"/>
      <c r="D20" s="15">
        <v>11351.016615</v>
      </c>
      <c r="E20" s="16">
        <v>-30402.503947000001</v>
      </c>
      <c r="F20" s="16">
        <f t="shared" si="0"/>
        <v>-19051.487332000001</v>
      </c>
      <c r="G20" s="15">
        <v>13653.861497</v>
      </c>
      <c r="H20" s="16">
        <v>-38466.320262000001</v>
      </c>
      <c r="I20" s="16">
        <f t="shared" si="1"/>
        <v>-24812.458765000003</v>
      </c>
      <c r="J20" s="15">
        <v>11157.297793</v>
      </c>
      <c r="K20" s="16">
        <v>-34024.806108999997</v>
      </c>
      <c r="L20" s="16">
        <f t="shared" si="2"/>
        <v>-22867.508315999999</v>
      </c>
      <c r="M20" s="15">
        <v>15892.711681000001</v>
      </c>
      <c r="N20" s="16">
        <v>-41476.616711000002</v>
      </c>
      <c r="O20" s="160">
        <f t="shared" si="3"/>
        <v>-25583.905030000002</v>
      </c>
      <c r="Q20" s="73"/>
    </row>
    <row r="21" spans="1:17" s="29" customFormat="1" ht="13.35" customHeight="1">
      <c r="A21" s="27"/>
      <c r="B21" s="30" t="s">
        <v>69</v>
      </c>
      <c r="C21" s="30"/>
      <c r="D21" s="15">
        <v>900.37775899999997</v>
      </c>
      <c r="E21" s="16">
        <v>-2560.4734130000002</v>
      </c>
      <c r="F21" s="16">
        <f t="shared" si="0"/>
        <v>-1660.0956540000002</v>
      </c>
      <c r="G21" s="15">
        <v>1160.676976</v>
      </c>
      <c r="H21" s="16">
        <v>-3009.2266089999998</v>
      </c>
      <c r="I21" s="16">
        <f t="shared" si="1"/>
        <v>-1848.5496329999999</v>
      </c>
      <c r="J21" s="15">
        <v>922.60901799999999</v>
      </c>
      <c r="K21" s="16">
        <v>-2153.3304170000001</v>
      </c>
      <c r="L21" s="16">
        <f t="shared" si="2"/>
        <v>-1230.721399</v>
      </c>
      <c r="M21" s="15">
        <v>1070.7215490000001</v>
      </c>
      <c r="N21" s="16">
        <v>-2543.2824529999998</v>
      </c>
      <c r="O21" s="160">
        <f t="shared" si="3"/>
        <v>-1472.5609039999997</v>
      </c>
      <c r="Q21" s="73"/>
    </row>
    <row r="22" spans="1:17" s="29" customFormat="1" ht="13.35" customHeight="1">
      <c r="A22" s="27"/>
      <c r="B22" s="30" t="s">
        <v>70</v>
      </c>
      <c r="C22" s="30"/>
      <c r="D22" s="15">
        <v>956.50226799999996</v>
      </c>
      <c r="E22" s="16">
        <v>-1877.409662</v>
      </c>
      <c r="F22" s="16">
        <f t="shared" si="0"/>
        <v>-920.90739400000007</v>
      </c>
      <c r="G22" s="15">
        <v>1356.8296339999999</v>
      </c>
      <c r="H22" s="16">
        <v>-2213.5490540000001</v>
      </c>
      <c r="I22" s="16">
        <f t="shared" si="1"/>
        <v>-856.71942000000013</v>
      </c>
      <c r="J22" s="15">
        <v>999.68724099999997</v>
      </c>
      <c r="K22" s="16">
        <v>-1677.3887500000001</v>
      </c>
      <c r="L22" s="16">
        <f t="shared" si="2"/>
        <v>-677.7015090000001</v>
      </c>
      <c r="M22" s="15">
        <v>985.22877800000003</v>
      </c>
      <c r="N22" s="16">
        <v>-1691.18541</v>
      </c>
      <c r="O22" s="160">
        <f t="shared" si="3"/>
        <v>-705.95663200000001</v>
      </c>
      <c r="Q22" s="73"/>
    </row>
    <row r="23" spans="1:17" s="29" customFormat="1" ht="13.35" customHeight="1">
      <c r="A23" s="27"/>
      <c r="B23" s="30" t="s">
        <v>71</v>
      </c>
      <c r="C23" s="30"/>
      <c r="D23" s="15">
        <v>75.199160000000006</v>
      </c>
      <c r="E23" s="16">
        <v>-142.14650800000001</v>
      </c>
      <c r="F23" s="16">
        <f t="shared" si="0"/>
        <v>-66.947348000000005</v>
      </c>
      <c r="G23" s="15">
        <v>90.043642000000006</v>
      </c>
      <c r="H23" s="16">
        <v>-150.24492499999999</v>
      </c>
      <c r="I23" s="16">
        <f t="shared" si="1"/>
        <v>-60.201282999999989</v>
      </c>
      <c r="J23" s="15">
        <v>91.177509999999998</v>
      </c>
      <c r="K23" s="16">
        <v>-146.867276</v>
      </c>
      <c r="L23" s="16">
        <f t="shared" si="2"/>
        <v>-55.689766000000006</v>
      </c>
      <c r="M23" s="15">
        <v>96.256169</v>
      </c>
      <c r="N23" s="16">
        <v>-164.29890499999999</v>
      </c>
      <c r="O23" s="160">
        <f t="shared" si="3"/>
        <v>-68.042735999999991</v>
      </c>
      <c r="Q23" s="73"/>
    </row>
    <row r="24" spans="1:17" s="29" customFormat="1" ht="13.35" customHeight="1">
      <c r="A24" s="27"/>
      <c r="B24" s="30" t="s">
        <v>103</v>
      </c>
      <c r="C24" s="30"/>
      <c r="D24" s="15">
        <v>3648.1693329999998</v>
      </c>
      <c r="E24" s="16">
        <v>-7217.9865920000002</v>
      </c>
      <c r="F24" s="16">
        <f t="shared" si="0"/>
        <v>-3569.8172590000004</v>
      </c>
      <c r="G24" s="15">
        <v>5298.2075130000003</v>
      </c>
      <c r="H24" s="16">
        <v>-10631.247942</v>
      </c>
      <c r="I24" s="16">
        <f t="shared" si="1"/>
        <v>-5333.0404289999997</v>
      </c>
      <c r="J24" s="15">
        <v>6004.0231519999998</v>
      </c>
      <c r="K24" s="16">
        <v>-12271.078385000001</v>
      </c>
      <c r="L24" s="16">
        <f t="shared" si="2"/>
        <v>-6267.055233000001</v>
      </c>
      <c r="M24" s="15">
        <v>6400.1769039999999</v>
      </c>
      <c r="N24" s="16">
        <v>-12158.406217</v>
      </c>
      <c r="O24" s="160">
        <f t="shared" si="3"/>
        <v>-5758.2293129999998</v>
      </c>
      <c r="Q24" s="73"/>
    </row>
    <row r="25" spans="1:17" s="29" customFormat="1" ht="13.35" customHeight="1">
      <c r="A25" s="27"/>
      <c r="B25" s="30" t="s">
        <v>89</v>
      </c>
      <c r="C25" s="30"/>
      <c r="D25" s="15">
        <v>272.55029300000001</v>
      </c>
      <c r="E25" s="16">
        <v>-588.88279</v>
      </c>
      <c r="F25" s="16">
        <f t="shared" si="0"/>
        <v>-316.33249699999999</v>
      </c>
      <c r="G25" s="15">
        <v>359.20509399999997</v>
      </c>
      <c r="H25" s="16">
        <v>-734.39321600000005</v>
      </c>
      <c r="I25" s="16">
        <f t="shared" si="1"/>
        <v>-375.18812200000008</v>
      </c>
      <c r="J25" s="15">
        <v>333.98731299999997</v>
      </c>
      <c r="K25" s="16">
        <v>-845.53153799999995</v>
      </c>
      <c r="L25" s="16">
        <f t="shared" si="2"/>
        <v>-511.54422499999998</v>
      </c>
      <c r="M25" s="15">
        <v>432.805251</v>
      </c>
      <c r="N25" s="16">
        <v>-1236.280949</v>
      </c>
      <c r="O25" s="160">
        <f t="shared" si="3"/>
        <v>-803.47569799999997</v>
      </c>
      <c r="Q25" s="73"/>
    </row>
    <row r="26" spans="1:17" s="29" customFormat="1" ht="13.35" customHeight="1">
      <c r="A26" s="27"/>
      <c r="B26" s="30" t="s">
        <v>72</v>
      </c>
      <c r="C26" s="30"/>
      <c r="D26" s="15">
        <v>64.423885999999996</v>
      </c>
      <c r="E26" s="16">
        <v>-147.683818</v>
      </c>
      <c r="F26" s="16">
        <f t="shared" si="0"/>
        <v>-83.259932000000006</v>
      </c>
      <c r="G26" s="15">
        <v>151.36300199999999</v>
      </c>
      <c r="H26" s="16">
        <v>-282.83977599999997</v>
      </c>
      <c r="I26" s="16">
        <f t="shared" si="1"/>
        <v>-131.47677399999998</v>
      </c>
      <c r="J26" s="15">
        <v>103.574753</v>
      </c>
      <c r="K26" s="16">
        <v>-237.55669700000001</v>
      </c>
      <c r="L26" s="16">
        <f t="shared" si="2"/>
        <v>-133.981944</v>
      </c>
      <c r="M26" s="15">
        <v>83.492864999999995</v>
      </c>
      <c r="N26" s="16">
        <v>-206.746317</v>
      </c>
      <c r="O26" s="160">
        <f t="shared" si="3"/>
        <v>-123.25345200000001</v>
      </c>
      <c r="Q26" s="73"/>
    </row>
    <row r="27" spans="1:17" s="29" customFormat="1" ht="13.35" customHeight="1">
      <c r="A27" s="27"/>
      <c r="B27" s="30" t="s">
        <v>73</v>
      </c>
      <c r="C27" s="30"/>
      <c r="D27" s="15">
        <v>15017.762457999999</v>
      </c>
      <c r="E27" s="16">
        <v>-18559.677402000001</v>
      </c>
      <c r="F27" s="16">
        <f t="shared" si="0"/>
        <v>-3541.9149440000019</v>
      </c>
      <c r="G27" s="15">
        <v>18162.985728</v>
      </c>
      <c r="H27" s="16">
        <v>-22902.023614000002</v>
      </c>
      <c r="I27" s="16">
        <f t="shared" si="1"/>
        <v>-4739.0378860000019</v>
      </c>
      <c r="J27" s="15">
        <v>15562.981388</v>
      </c>
      <c r="K27" s="16">
        <v>-19275.847458</v>
      </c>
      <c r="L27" s="16">
        <f t="shared" si="2"/>
        <v>-3712.86607</v>
      </c>
      <c r="M27" s="15">
        <v>18838.444756000001</v>
      </c>
      <c r="N27" s="16">
        <v>-22753.940610000001</v>
      </c>
      <c r="O27" s="160">
        <f t="shared" si="3"/>
        <v>-3915.4958540000007</v>
      </c>
      <c r="Q27" s="73"/>
    </row>
    <row r="28" spans="1:17" s="29" customFormat="1" ht="13.35" customHeight="1">
      <c r="A28" s="27"/>
      <c r="B28" s="30" t="s">
        <v>74</v>
      </c>
      <c r="C28" s="30"/>
      <c r="D28" s="15">
        <v>176.09534500000001</v>
      </c>
      <c r="E28" s="16">
        <v>-269.34351600000002</v>
      </c>
      <c r="F28" s="16">
        <f t="shared" si="0"/>
        <v>-93.248171000000013</v>
      </c>
      <c r="G28" s="15">
        <v>212.60578000000001</v>
      </c>
      <c r="H28" s="16">
        <v>-317.674913</v>
      </c>
      <c r="I28" s="16">
        <f t="shared" si="1"/>
        <v>-105.06913299999999</v>
      </c>
      <c r="J28" s="15">
        <v>185.21157600000001</v>
      </c>
      <c r="K28" s="16">
        <v>-289.314911</v>
      </c>
      <c r="L28" s="16">
        <f t="shared" si="2"/>
        <v>-104.10333499999999</v>
      </c>
      <c r="M28" s="15">
        <v>195.05490599999999</v>
      </c>
      <c r="N28" s="16">
        <v>-293.19795399999998</v>
      </c>
      <c r="O28" s="160">
        <f t="shared" si="3"/>
        <v>-98.143047999999993</v>
      </c>
      <c r="Q28" s="73"/>
    </row>
    <row r="29" spans="1:17" s="29" customFormat="1" ht="13.35" customHeight="1">
      <c r="A29" s="27"/>
      <c r="B29" s="30" t="s">
        <v>75</v>
      </c>
      <c r="C29" s="30"/>
      <c r="D29" s="15">
        <v>177.29564300000001</v>
      </c>
      <c r="E29" s="16">
        <v>-450.76442200000002</v>
      </c>
      <c r="F29" s="16">
        <f t="shared" si="0"/>
        <v>-273.46877900000004</v>
      </c>
      <c r="G29" s="15">
        <v>211.727508</v>
      </c>
      <c r="H29" s="16">
        <v>-630.50479499999994</v>
      </c>
      <c r="I29" s="16">
        <f t="shared" si="1"/>
        <v>-418.77728699999994</v>
      </c>
      <c r="J29" s="15">
        <v>209.175118</v>
      </c>
      <c r="K29" s="16">
        <v>-683.23522600000001</v>
      </c>
      <c r="L29" s="16">
        <f t="shared" si="2"/>
        <v>-474.06010800000001</v>
      </c>
      <c r="M29" s="15">
        <v>234.55524399999999</v>
      </c>
      <c r="N29" s="16">
        <v>-708.34992099999999</v>
      </c>
      <c r="O29" s="160">
        <f t="shared" si="3"/>
        <v>-473.79467699999998</v>
      </c>
      <c r="Q29" s="73"/>
    </row>
    <row r="30" spans="1:17" s="29" customFormat="1" ht="13.35" customHeight="1">
      <c r="A30" s="27"/>
      <c r="B30" s="30" t="s">
        <v>90</v>
      </c>
      <c r="C30" s="30"/>
      <c r="D30" s="15">
        <v>412.19318700000002</v>
      </c>
      <c r="E30" s="16">
        <v>-594.893238</v>
      </c>
      <c r="F30" s="16">
        <f t="shared" si="0"/>
        <v>-182.70005099999997</v>
      </c>
      <c r="G30" s="15">
        <v>654.64460099999997</v>
      </c>
      <c r="H30" s="16">
        <v>-986.17109000000005</v>
      </c>
      <c r="I30" s="16">
        <f t="shared" si="1"/>
        <v>-331.52648900000008</v>
      </c>
      <c r="J30" s="15">
        <v>649.36981800000001</v>
      </c>
      <c r="K30" s="16">
        <v>-1012.989422</v>
      </c>
      <c r="L30" s="16">
        <f t="shared" si="2"/>
        <v>-363.61960399999998</v>
      </c>
      <c r="M30" s="15">
        <v>629.40281400000003</v>
      </c>
      <c r="N30" s="16">
        <v>-1028.0259000000001</v>
      </c>
      <c r="O30" s="160">
        <f t="shared" si="3"/>
        <v>-398.62308600000006</v>
      </c>
      <c r="Q30" s="73"/>
    </row>
    <row r="31" spans="1:17" s="29" customFormat="1" ht="13.35" customHeight="1">
      <c r="A31" s="27"/>
      <c r="B31" s="30" t="s">
        <v>2</v>
      </c>
      <c r="C31" s="30"/>
      <c r="D31" s="15">
        <v>483.38371899999999</v>
      </c>
      <c r="E31" s="16">
        <v>-736.96981100000005</v>
      </c>
      <c r="F31" s="16">
        <f t="shared" si="0"/>
        <v>-253.58609200000006</v>
      </c>
      <c r="G31" s="15">
        <v>716.41566</v>
      </c>
      <c r="H31" s="16">
        <v>-1006.302905</v>
      </c>
      <c r="I31" s="16">
        <f t="shared" si="1"/>
        <v>-289.88724500000001</v>
      </c>
      <c r="J31" s="15">
        <v>445.72547600000001</v>
      </c>
      <c r="K31" s="16">
        <v>-651.568803</v>
      </c>
      <c r="L31" s="16">
        <f t="shared" si="2"/>
        <v>-205.84332699999999</v>
      </c>
      <c r="M31" s="15">
        <v>445.44294600000001</v>
      </c>
      <c r="N31" s="16">
        <v>-671.38923199999999</v>
      </c>
      <c r="O31" s="160">
        <f t="shared" si="3"/>
        <v>-225.94628599999999</v>
      </c>
      <c r="Q31" s="73"/>
    </row>
    <row r="32" spans="1:17" s="29" customFormat="1" ht="13.35" customHeight="1">
      <c r="A32" s="27"/>
      <c r="B32" s="30" t="s">
        <v>76</v>
      </c>
      <c r="C32" s="30"/>
      <c r="D32" s="15">
        <v>465.17534699999999</v>
      </c>
      <c r="E32" s="16">
        <v>-998.17953899999998</v>
      </c>
      <c r="F32" s="16">
        <f t="shared" si="0"/>
        <v>-533.00419199999999</v>
      </c>
      <c r="G32" s="15">
        <v>523.56432500000005</v>
      </c>
      <c r="H32" s="16">
        <v>-1243.3362850000001</v>
      </c>
      <c r="I32" s="16">
        <f t="shared" si="1"/>
        <v>-719.77196000000004</v>
      </c>
      <c r="J32" s="15">
        <v>427.54675800000001</v>
      </c>
      <c r="K32" s="16">
        <v>-973.62794899999994</v>
      </c>
      <c r="L32" s="16">
        <f t="shared" si="2"/>
        <v>-546.08119099999999</v>
      </c>
      <c r="M32" s="15">
        <v>354.14611000000002</v>
      </c>
      <c r="N32" s="16">
        <v>-738.94246099999998</v>
      </c>
      <c r="O32" s="160">
        <f t="shared" si="3"/>
        <v>-384.79635099999996</v>
      </c>
      <c r="Q32" s="73"/>
    </row>
    <row r="33" spans="1:17" s="29" customFormat="1" ht="13.35" customHeight="1">
      <c r="A33" s="27"/>
      <c r="B33" s="30" t="s">
        <v>77</v>
      </c>
      <c r="C33" s="30"/>
      <c r="D33" s="15">
        <v>6498.344443</v>
      </c>
      <c r="E33" s="16">
        <v>-11169.077002</v>
      </c>
      <c r="F33" s="16">
        <f t="shared" si="0"/>
        <v>-4670.732559</v>
      </c>
      <c r="G33" s="15">
        <v>10118.321209</v>
      </c>
      <c r="H33" s="16">
        <v>-16282.468911</v>
      </c>
      <c r="I33" s="16">
        <f t="shared" si="1"/>
        <v>-6164.1477020000002</v>
      </c>
      <c r="J33" s="15">
        <v>6606.6839769999997</v>
      </c>
      <c r="K33" s="16">
        <v>-11653.903281000001</v>
      </c>
      <c r="L33" s="16">
        <f t="shared" si="2"/>
        <v>-5047.2193040000011</v>
      </c>
      <c r="M33" s="15">
        <v>7903.5957170000001</v>
      </c>
      <c r="N33" s="16">
        <v>-13045.787708</v>
      </c>
      <c r="O33" s="160">
        <f t="shared" si="3"/>
        <v>-5142.1919909999997</v>
      </c>
      <c r="Q33" s="73"/>
    </row>
    <row r="34" spans="1:17" s="33" customFormat="1" ht="13.35" customHeight="1">
      <c r="A34" s="31"/>
      <c r="B34" s="32" t="s">
        <v>91</v>
      </c>
      <c r="C34" s="32"/>
      <c r="D34" s="15">
        <v>13628.662346999999</v>
      </c>
      <c r="E34" s="16">
        <v>-20703.425314</v>
      </c>
      <c r="F34" s="16">
        <f t="shared" si="0"/>
        <v>-7074.7629670000006</v>
      </c>
      <c r="G34" s="15">
        <v>13816.584908000001</v>
      </c>
      <c r="H34" s="16">
        <v>-23694.915742000001</v>
      </c>
      <c r="I34" s="16">
        <f t="shared" si="1"/>
        <v>-9878.3308340000003</v>
      </c>
      <c r="J34" s="15">
        <v>10465.690293</v>
      </c>
      <c r="K34" s="16">
        <v>-16284.344695</v>
      </c>
      <c r="L34" s="16">
        <f t="shared" si="2"/>
        <v>-5818.6544020000001</v>
      </c>
      <c r="M34" s="15">
        <v>12270.509819999999</v>
      </c>
      <c r="N34" s="16">
        <v>-19379.768092999999</v>
      </c>
      <c r="O34" s="160">
        <f t="shared" si="3"/>
        <v>-7109.2582729999995</v>
      </c>
      <c r="Q34" s="73"/>
    </row>
    <row r="35" spans="1:17" s="33" customFormat="1" ht="13.35" customHeight="1">
      <c r="A35" s="31"/>
      <c r="B35" s="32" t="s">
        <v>78</v>
      </c>
      <c r="C35" s="32"/>
      <c r="D35" s="15">
        <v>13035.460029</v>
      </c>
      <c r="E35" s="16">
        <v>-18106.345020000001</v>
      </c>
      <c r="F35" s="16">
        <f t="shared" si="0"/>
        <v>-5070.8849910000008</v>
      </c>
      <c r="G35" s="15">
        <v>14665.880771</v>
      </c>
      <c r="H35" s="16">
        <v>-20946.899405</v>
      </c>
      <c r="I35" s="16">
        <f t="shared" si="1"/>
        <v>-6281.018634</v>
      </c>
      <c r="J35" s="15">
        <v>11651.550217</v>
      </c>
      <c r="K35" s="16">
        <v>-16605.151607</v>
      </c>
      <c r="L35" s="16">
        <f t="shared" si="2"/>
        <v>-4953.6013899999998</v>
      </c>
      <c r="M35" s="15">
        <v>13979.520323999999</v>
      </c>
      <c r="N35" s="16">
        <v>-19735.323715999999</v>
      </c>
      <c r="O35" s="160">
        <f t="shared" si="3"/>
        <v>-5755.8033919999998</v>
      </c>
      <c r="Q35" s="73"/>
    </row>
    <row r="36" spans="1:17" s="33" customFormat="1" ht="13.35" customHeight="1">
      <c r="A36" s="31"/>
      <c r="B36" s="32" t="s">
        <v>92</v>
      </c>
      <c r="C36" s="32"/>
      <c r="D36" s="15">
        <v>395.106944</v>
      </c>
      <c r="E36" s="16">
        <v>-596.48555199999998</v>
      </c>
      <c r="F36" s="16">
        <f t="shared" si="0"/>
        <v>-201.37860799999999</v>
      </c>
      <c r="G36" s="15">
        <v>418.825626</v>
      </c>
      <c r="H36" s="16">
        <v>-673.46172999999999</v>
      </c>
      <c r="I36" s="16">
        <f t="shared" si="1"/>
        <v>-254.63610399999999</v>
      </c>
      <c r="J36" s="15">
        <v>267.38108099999999</v>
      </c>
      <c r="K36" s="16">
        <v>-478.67177400000003</v>
      </c>
      <c r="L36" s="16">
        <f t="shared" si="2"/>
        <v>-211.29069300000003</v>
      </c>
      <c r="M36" s="15">
        <v>298.28365100000002</v>
      </c>
      <c r="N36" s="16">
        <v>-473.51085999999998</v>
      </c>
      <c r="O36" s="160">
        <f t="shared" si="3"/>
        <v>-175.22720899999996</v>
      </c>
      <c r="Q36" s="73"/>
    </row>
    <row r="37" spans="1:17" s="29" customFormat="1" ht="13.35" customHeight="1">
      <c r="A37" s="34"/>
      <c r="B37" s="35" t="s">
        <v>0</v>
      </c>
      <c r="C37" s="36"/>
      <c r="D37" s="37">
        <f t="shared" ref="D37:O37" si="4">SUM(D4:D36)</f>
        <v>138318.500405</v>
      </c>
      <c r="E37" s="38">
        <f t="shared" si="4"/>
        <v>-240586.23229899997</v>
      </c>
      <c r="F37" s="38">
        <f t="shared" si="4"/>
        <v>-102267.731894</v>
      </c>
      <c r="G37" s="37">
        <f t="shared" si="4"/>
        <v>177784.02405700003</v>
      </c>
      <c r="H37" s="38">
        <f t="shared" si="4"/>
        <v>-311230.8978739999</v>
      </c>
      <c r="I37" s="38">
        <f t="shared" si="4"/>
        <v>-133446.87381700004</v>
      </c>
      <c r="J37" s="37">
        <f t="shared" si="4"/>
        <v>141647.08419300002</v>
      </c>
      <c r="K37" s="38">
        <f t="shared" si="4"/>
        <v>-251311.30738499999</v>
      </c>
      <c r="L37" s="38">
        <f t="shared" si="4"/>
        <v>-109664.22319200002</v>
      </c>
      <c r="M37" s="37">
        <f t="shared" si="4"/>
        <v>161259.68289900001</v>
      </c>
      <c r="N37" s="38">
        <f t="shared" si="4"/>
        <v>-276190.67866099998</v>
      </c>
      <c r="O37" s="39">
        <f t="shared" si="4"/>
        <v>-114930.99576200001</v>
      </c>
    </row>
    <row r="38" spans="1:17" s="29" customFormat="1" ht="12" customHeight="1">
      <c r="B38" s="63"/>
    </row>
    <row r="39" spans="1:17" s="29" customFormat="1" ht="13.35" customHeight="1"/>
    <row r="40" spans="1:17" s="29" customFormat="1" ht="13.35" customHeight="1"/>
    <row r="41" spans="1:17" s="29" customFormat="1" ht="13.35" customHeight="1"/>
    <row r="42" spans="1:17" s="29" customFormat="1" ht="13.35" customHeight="1"/>
    <row r="43" spans="1:17" s="29" customFormat="1" ht="13.35" customHeight="1">
      <c r="M43" s="102"/>
      <c r="N43" s="102"/>
      <c r="O43" s="102"/>
    </row>
    <row r="44" spans="1:17" s="29" customFormat="1" ht="13.35" customHeight="1"/>
    <row r="45" spans="1:17" s="29" customFormat="1" ht="13.35" customHeight="1">
      <c r="B45" s="14"/>
      <c r="N45" s="105"/>
      <c r="O45" s="105"/>
    </row>
    <row r="46" spans="1:17" s="29" customFormat="1" ht="13.35" customHeight="1">
      <c r="B46" s="14"/>
      <c r="N46" s="105"/>
      <c r="O46" s="105"/>
    </row>
    <row r="47" spans="1:17" s="29" customFormat="1" ht="13.35" customHeight="1">
      <c r="B47" s="30"/>
    </row>
    <row r="48" spans="1:17" s="29" customFormat="1" ht="13.35" customHeight="1">
      <c r="B48" s="30"/>
    </row>
    <row r="49" spans="2:2" s="29" customFormat="1" ht="13.35" customHeight="1">
      <c r="B49" s="30"/>
    </row>
    <row r="50" spans="2:2" s="29" customFormat="1" ht="13.35" customHeight="1">
      <c r="B50" s="30"/>
    </row>
    <row r="51" spans="2:2" s="29" customFormat="1" ht="13.35" customHeight="1">
      <c r="B51" s="30"/>
    </row>
    <row r="52" spans="2:2" s="29" customFormat="1" ht="13.35" customHeight="1">
      <c r="B52" s="30"/>
    </row>
    <row r="53" spans="2:2" s="29" customFormat="1" ht="13.35" customHeight="1">
      <c r="B53" s="30"/>
    </row>
    <row r="54" spans="2:2" s="29" customFormat="1" ht="13.35" customHeight="1">
      <c r="B54" s="30"/>
    </row>
    <row r="55" spans="2:2" s="29" customFormat="1" ht="13.35" customHeight="1">
      <c r="B55" s="30"/>
    </row>
    <row r="56" spans="2:2" s="29" customFormat="1" ht="13.35" customHeight="1">
      <c r="B56" s="30"/>
    </row>
    <row r="57" spans="2:2" s="29" customFormat="1" ht="13.35" customHeight="1">
      <c r="B57" s="30"/>
    </row>
    <row r="58" spans="2:2" s="29" customFormat="1" ht="13.35" customHeight="1">
      <c r="B58" s="30"/>
    </row>
    <row r="59" spans="2:2" s="29" customFormat="1" ht="13.35" customHeight="1">
      <c r="B59" s="30"/>
    </row>
    <row r="60" spans="2:2" s="29" customFormat="1" ht="13.35" customHeight="1">
      <c r="B60" s="30"/>
    </row>
    <row r="61" spans="2:2" s="29" customFormat="1" ht="13.35" customHeight="1">
      <c r="B61" s="32"/>
    </row>
    <row r="62" spans="2:2" s="29" customFormat="1" ht="13.35" customHeight="1">
      <c r="B62" s="32"/>
    </row>
    <row r="63" spans="2:2" s="29" customFormat="1" ht="13.35" customHeight="1">
      <c r="B63" s="32"/>
    </row>
    <row r="64" spans="2:2" s="29" customFormat="1" ht="13.35" customHeight="1">
      <c r="B64" s="32"/>
    </row>
    <row r="65" spans="2:15" s="29" customFormat="1" ht="13.35" customHeight="1">
      <c r="B65" s="32"/>
      <c r="M65" s="102"/>
      <c r="N65" s="102"/>
      <c r="O65" s="102"/>
    </row>
    <row r="66" spans="2:15" s="29" customFormat="1" ht="13.35" customHeight="1">
      <c r="B66" s="32"/>
    </row>
    <row r="67" spans="2:15" s="29" customFormat="1" ht="13.35" customHeight="1">
      <c r="B67" s="32"/>
    </row>
    <row r="68" spans="2:15" s="29" customFormat="1" ht="13.35" customHeight="1">
      <c r="B68" s="32"/>
    </row>
    <row r="69" spans="2:15" s="29" customFormat="1" ht="13.35" customHeight="1">
      <c r="B69" s="32"/>
    </row>
    <row r="70" spans="2:15" s="29" customFormat="1" ht="13.35" customHeight="1">
      <c r="B70" s="32"/>
    </row>
    <row r="71" spans="2:15" s="29" customFormat="1" ht="13.35" customHeight="1">
      <c r="B71" s="32"/>
      <c r="M71" s="102"/>
      <c r="N71" s="102"/>
      <c r="O71" s="102"/>
    </row>
    <row r="72" spans="2:15" s="29" customFormat="1" ht="13.35" customHeight="1">
      <c r="B72" s="32"/>
      <c r="M72" s="102"/>
      <c r="N72" s="102"/>
      <c r="O72" s="102"/>
    </row>
    <row r="73" spans="2:15" s="29" customFormat="1" ht="13.35" customHeight="1">
      <c r="B73" s="32"/>
      <c r="M73" s="102"/>
      <c r="N73" s="102"/>
      <c r="O73" s="102"/>
    </row>
    <row r="74" spans="2:15" s="29" customFormat="1" ht="13.35" customHeight="1">
      <c r="B74" s="32"/>
      <c r="M74" s="102"/>
      <c r="N74" s="102"/>
      <c r="O74" s="102"/>
    </row>
    <row r="75" spans="2:15" s="29" customFormat="1" ht="13.35" customHeight="1">
      <c r="B75" s="32"/>
      <c r="M75" s="102"/>
      <c r="N75" s="102"/>
      <c r="O75" s="102"/>
    </row>
    <row r="76" spans="2:15" s="29" customFormat="1" ht="13.35" customHeight="1">
      <c r="B76" s="32"/>
      <c r="M76" s="102"/>
      <c r="N76" s="102"/>
      <c r="O76" s="102"/>
    </row>
    <row r="77" spans="2:15" s="29" customFormat="1" ht="13.35" customHeight="1">
      <c r="B77" s="32"/>
      <c r="M77" s="102"/>
      <c r="N77" s="102"/>
      <c r="O77" s="102"/>
    </row>
    <row r="78" spans="2:15" s="29" customFormat="1" ht="13.35" customHeight="1">
      <c r="B78" s="32"/>
      <c r="M78" s="102"/>
      <c r="N78" s="102"/>
      <c r="O78" s="102"/>
    </row>
    <row r="79" spans="2:15" s="29" customFormat="1" ht="13.35" customHeight="1">
      <c r="B79" s="32"/>
      <c r="M79" s="102"/>
      <c r="N79" s="102"/>
      <c r="O79" s="102"/>
    </row>
    <row r="80" spans="2:15" s="29" customFormat="1" ht="13.35" customHeight="1">
      <c r="B80" s="32"/>
      <c r="M80" s="102"/>
      <c r="N80" s="102"/>
      <c r="O80" s="102"/>
    </row>
    <row r="81" spans="2:15" s="29" customFormat="1" ht="13.35" customHeight="1">
      <c r="B81" s="32"/>
      <c r="M81" s="102"/>
      <c r="N81" s="102"/>
      <c r="O81" s="102"/>
    </row>
    <row r="82" spans="2:15" s="29" customFormat="1" ht="13.35" customHeight="1">
      <c r="M82" s="102"/>
      <c r="N82" s="102"/>
      <c r="O82" s="102"/>
    </row>
    <row r="83" spans="2:15" s="29" customFormat="1" ht="13.35" customHeight="1">
      <c r="M83" s="102"/>
      <c r="N83" s="102"/>
      <c r="O83" s="102"/>
    </row>
    <row r="84" spans="2:15" s="29" customFormat="1" ht="13.35" customHeight="1">
      <c r="M84" s="102"/>
      <c r="N84" s="102"/>
      <c r="O84" s="102"/>
    </row>
    <row r="85" spans="2:15" s="29" customFormat="1" ht="13.35" customHeight="1">
      <c r="M85" s="102"/>
      <c r="N85" s="102"/>
      <c r="O85" s="102"/>
    </row>
    <row r="86" spans="2:15" s="29" customFormat="1" ht="13.35" customHeight="1">
      <c r="M86" s="102"/>
      <c r="N86" s="102"/>
      <c r="O86" s="102"/>
    </row>
    <row r="87" spans="2:15" s="29" customFormat="1" ht="13.35" customHeight="1">
      <c r="M87" s="102"/>
      <c r="N87" s="102"/>
      <c r="O87" s="102"/>
    </row>
    <row r="88" spans="2:15" s="29" customFormat="1" ht="13.35" customHeight="1">
      <c r="M88" s="102"/>
      <c r="N88" s="102"/>
      <c r="O88" s="102"/>
    </row>
    <row r="89" spans="2:15" s="29" customFormat="1" ht="13.35" customHeight="1">
      <c r="M89" s="102"/>
      <c r="N89" s="102"/>
      <c r="O89" s="102"/>
    </row>
    <row r="90" spans="2:15" s="29" customFormat="1" ht="13.35" customHeight="1">
      <c r="M90" s="102"/>
      <c r="N90" s="102"/>
      <c r="O90" s="102"/>
    </row>
    <row r="91" spans="2:15" s="29" customFormat="1" ht="13.35" customHeight="1">
      <c r="M91" s="102"/>
      <c r="N91" s="102"/>
      <c r="O91" s="102"/>
    </row>
    <row r="92" spans="2:15" s="29" customFormat="1" ht="13.35" customHeight="1">
      <c r="M92" s="102"/>
      <c r="N92" s="102"/>
      <c r="O92" s="102"/>
    </row>
    <row r="93" spans="2:15" s="29" customFormat="1" ht="13.35" customHeight="1">
      <c r="M93" s="102"/>
      <c r="N93" s="102"/>
      <c r="O93" s="102"/>
    </row>
    <row r="94" spans="2:15" s="29" customFormat="1" ht="13.35" customHeight="1">
      <c r="M94" s="102"/>
      <c r="N94" s="102"/>
      <c r="O94" s="102"/>
    </row>
    <row r="95" spans="2:15" s="29" customFormat="1" ht="13.35" customHeight="1">
      <c r="M95" s="102"/>
      <c r="N95" s="102"/>
      <c r="O95" s="102"/>
    </row>
    <row r="96" spans="2:15" s="29" customFormat="1" ht="13.35" customHeight="1">
      <c r="M96" s="102"/>
      <c r="N96" s="102"/>
      <c r="O96" s="102"/>
    </row>
    <row r="97" spans="13:15" s="29" customFormat="1" ht="13.35" customHeight="1">
      <c r="M97" s="102"/>
      <c r="N97" s="102"/>
      <c r="O97" s="102"/>
    </row>
    <row r="98" spans="13:15" s="29" customFormat="1" ht="13.35" customHeight="1">
      <c r="M98" s="102"/>
      <c r="N98" s="102"/>
      <c r="O98" s="102"/>
    </row>
    <row r="99" spans="13:15" s="29" customFormat="1" ht="13.35" customHeight="1">
      <c r="M99" s="102"/>
      <c r="N99" s="102"/>
      <c r="O99" s="102"/>
    </row>
    <row r="100" spans="13:15" s="29" customFormat="1" ht="13.35" customHeight="1">
      <c r="M100" s="102"/>
      <c r="N100" s="102"/>
      <c r="O100" s="102"/>
    </row>
    <row r="101" spans="13:15" s="29" customFormat="1" ht="13.35" customHeight="1">
      <c r="M101" s="102"/>
      <c r="N101" s="102"/>
      <c r="O101" s="102"/>
    </row>
    <row r="102" spans="13:15" s="29" customFormat="1" ht="13.35" customHeight="1">
      <c r="N102" s="102"/>
      <c r="O102" s="102"/>
    </row>
    <row r="103" spans="13:15" s="29" customFormat="1" ht="13.35" customHeight="1"/>
    <row r="104" spans="13:15" s="29" customFormat="1" ht="13.35" customHeight="1">
      <c r="N104" s="101"/>
      <c r="O104" s="101"/>
    </row>
    <row r="105" spans="13:15" s="29" customFormat="1" ht="13.35" customHeight="1"/>
    <row r="106" spans="13:15" s="29" customFormat="1" ht="13.35" customHeight="1"/>
    <row r="107" spans="13:15" s="29" customFormat="1" ht="13.35" customHeight="1"/>
    <row r="108" spans="13:15" s="29" customFormat="1" ht="13.35" customHeight="1"/>
    <row r="109" spans="13:15" s="29" customFormat="1" ht="13.35" customHeight="1"/>
    <row r="110" spans="13:15" s="29" customFormat="1" ht="13.35" customHeight="1"/>
    <row r="111" spans="13:15" s="29" customFormat="1" ht="13.35" customHeight="1"/>
    <row r="112" spans="13:15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pans="2:8" s="29" customFormat="1" ht="13.35" customHeight="1"/>
    <row r="3266" spans="2:8" s="29" customFormat="1" ht="13.35" customHeight="1"/>
    <row r="3267" spans="2:8" s="29" customFormat="1" ht="13.35" customHeight="1"/>
    <row r="3268" spans="2:8" s="29" customFormat="1" ht="13.35" customHeight="1"/>
    <row r="3269" spans="2:8" s="29" customFormat="1" ht="13.35" customHeight="1"/>
    <row r="3270" spans="2:8" s="29" customFormat="1" ht="13.35" customHeight="1"/>
    <row r="3271" spans="2:8" s="29" customFormat="1" ht="13.35" customHeight="1"/>
    <row r="3272" spans="2:8" s="29" customFormat="1" ht="13.35" customHeight="1"/>
    <row r="3273" spans="2:8" s="29" customFormat="1" ht="13.35" customHeight="1"/>
    <row r="3274" spans="2:8" s="29" customFormat="1" ht="13.35" customHeight="1"/>
    <row r="3275" spans="2:8" s="29" customFormat="1" ht="13.35" customHeight="1"/>
    <row r="3276" spans="2:8" s="29" customFormat="1" ht="13.35" customHeight="1"/>
    <row r="3277" spans="2:8">
      <c r="B3277" s="29"/>
      <c r="C3277" s="29"/>
      <c r="D3277" s="29"/>
      <c r="E3277" s="29"/>
      <c r="F3277" s="29"/>
      <c r="G3277" s="29"/>
      <c r="H3277" s="29"/>
    </row>
  </sheetData>
  <mergeCells count="1">
    <mergeCell ref="B3:C3"/>
  </mergeCells>
  <pageMargins left="0.98425196850393704" right="0.98425196850393704" top="1.1811023622047245" bottom="1.3779527559055118" header="0.51181102362204722" footer="0.39370078740157483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7" enableFormatConditionsCalculation="0">
    <tabColor theme="3"/>
    <pageSetUpPr fitToPage="1"/>
  </sheetPr>
  <dimension ref="A1:E8"/>
  <sheetViews>
    <sheetView showGridLines="0" zoomScaleNormal="100" workbookViewId="0"/>
  </sheetViews>
  <sheetFormatPr defaultRowHeight="12.75"/>
  <cols>
    <col min="1" max="1" width="0.85546875" style="49" customWidth="1"/>
    <col min="2" max="2" width="9.7109375" style="52" customWidth="1"/>
    <col min="3" max="3" width="16.7109375" style="52" customWidth="1"/>
    <col min="4" max="5" width="16.7109375" style="53" customWidth="1"/>
    <col min="6" max="16384" width="9.140625" style="54"/>
  </cols>
  <sheetData>
    <row r="1" spans="1:5" s="49" customFormat="1" ht="13.35" customHeight="1">
      <c r="A1" s="47" t="s">
        <v>112</v>
      </c>
      <c r="B1" s="47"/>
      <c r="C1" s="48"/>
    </row>
    <row r="2" spans="1:5" s="49" customFormat="1" ht="22.5">
      <c r="A2" s="75"/>
      <c r="B2" s="167" t="s">
        <v>146</v>
      </c>
      <c r="C2" s="195" t="s">
        <v>46</v>
      </c>
      <c r="D2" s="80" t="s">
        <v>96</v>
      </c>
      <c r="E2" s="79" t="s">
        <v>95</v>
      </c>
    </row>
    <row r="3" spans="1:5" s="49" customFormat="1" ht="13.35" customHeight="1">
      <c r="A3" s="76"/>
      <c r="B3" s="50" t="s">
        <v>38</v>
      </c>
      <c r="C3" s="196">
        <v>745487</v>
      </c>
      <c r="D3" s="106">
        <f>A4.1.1!D38</f>
        <v>526571</v>
      </c>
      <c r="E3" s="113">
        <f t="shared" ref="E3" si="0">D3/C3</f>
        <v>0.70634497985880373</v>
      </c>
    </row>
    <row r="4" spans="1:5" s="49" customFormat="1" ht="13.35" customHeight="1">
      <c r="A4" s="76"/>
      <c r="B4" s="50" t="s">
        <v>102</v>
      </c>
      <c r="C4" s="196">
        <v>737885</v>
      </c>
      <c r="D4" s="106">
        <f>A4.1.1!G38</f>
        <v>530342</v>
      </c>
      <c r="E4" s="113">
        <f>D4/C4</f>
        <v>0.7187325938323722</v>
      </c>
    </row>
    <row r="5" spans="1:5" s="49" customFormat="1" ht="13.35" customHeight="1">
      <c r="A5" s="76"/>
      <c r="B5" s="50" t="s">
        <v>106</v>
      </c>
      <c r="C5" s="196">
        <v>685523</v>
      </c>
      <c r="D5" s="106">
        <f>A4.1.1!J38</f>
        <v>493083</v>
      </c>
      <c r="E5" s="113">
        <f t="shared" ref="E5:E6" si="1">D5/C5</f>
        <v>0.71928002415673875</v>
      </c>
    </row>
    <row r="6" spans="1:5" s="49" customFormat="1" ht="13.35" customHeight="1">
      <c r="A6" s="77"/>
      <c r="B6" s="51" t="s">
        <v>110</v>
      </c>
      <c r="C6" s="197">
        <v>664267</v>
      </c>
      <c r="D6" s="112">
        <f>A4.1.1!M38</f>
        <v>466050</v>
      </c>
      <c r="E6" s="114">
        <f t="shared" si="1"/>
        <v>0.70160041067823631</v>
      </c>
    </row>
    <row r="7" spans="1:5" s="49" customFormat="1" ht="12" customHeight="1">
      <c r="B7" s="63" t="s">
        <v>59</v>
      </c>
    </row>
    <row r="8" spans="1:5" s="49" customFormat="1" ht="12" customHeight="1">
      <c r="B8" s="74" t="s">
        <v>60</v>
      </c>
    </row>
  </sheetData>
  <phoneticPr fontId="3" type="noConversion"/>
  <pageMargins left="0.78740157480314965" right="0.78740157480314965" top="0.78740157480314965" bottom="0.78740157480314965" header="0.51181102362204722" footer="0.39370078740157483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3277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5703125" style="44" customWidth="1"/>
    <col min="7" max="8" width="9.5703125" style="45" customWidth="1"/>
    <col min="9" max="15" width="9.57031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169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70.5" customHeight="1">
      <c r="A3" s="59"/>
      <c r="B3" s="241" t="s">
        <v>172</v>
      </c>
      <c r="C3" s="237"/>
      <c r="D3" s="60" t="s">
        <v>157</v>
      </c>
      <c r="E3" s="61" t="s">
        <v>158</v>
      </c>
      <c r="F3" s="61" t="s">
        <v>161</v>
      </c>
      <c r="G3" s="60" t="s">
        <v>157</v>
      </c>
      <c r="H3" s="61" t="s">
        <v>158</v>
      </c>
      <c r="I3" s="61" t="s">
        <v>161</v>
      </c>
      <c r="J3" s="60" t="s">
        <v>157</v>
      </c>
      <c r="K3" s="61" t="s">
        <v>158</v>
      </c>
      <c r="L3" s="61" t="s">
        <v>161</v>
      </c>
      <c r="M3" s="60" t="s">
        <v>157</v>
      </c>
      <c r="N3" s="61" t="s">
        <v>158</v>
      </c>
      <c r="O3" s="62" t="s">
        <v>161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203">
        <f>A4.4.2!E4/A4.4.2!F4</f>
        <v>-1.9477374622178032</v>
      </c>
      <c r="E4" s="204">
        <f>A4.4.2!D4/A4.4.2!F4</f>
        <v>2.9477374622178032</v>
      </c>
      <c r="F4" s="204">
        <f t="shared" ref="F4:F37" si="0">D4+E4</f>
        <v>1</v>
      </c>
      <c r="G4" s="203">
        <f>A4.4.2!H4/A4.4.2!I4</f>
        <v>-1.8269382235896645</v>
      </c>
      <c r="H4" s="204">
        <f>A4.4.2!G4/A4.4.2!I4</f>
        <v>2.8269382235896647</v>
      </c>
      <c r="I4" s="204">
        <f t="shared" ref="I4:I37" si="1">G4+H4</f>
        <v>1.0000000000000002</v>
      </c>
      <c r="J4" s="203">
        <f>A4.4.2!K4/A4.4.2!L4</f>
        <v>-1.6434436498371223</v>
      </c>
      <c r="K4" s="204">
        <f>A4.4.2!J4/A4.4.2!L4</f>
        <v>2.6434436498371223</v>
      </c>
      <c r="L4" s="204">
        <f t="shared" ref="L4:L37" si="2">J4+K4</f>
        <v>1</v>
      </c>
      <c r="M4" s="203">
        <f>A4.4.2!N4/A4.4.2!O4</f>
        <v>-1.6549173369264418</v>
      </c>
      <c r="N4" s="204">
        <f>A4.4.2!M4/A4.4.2!O4</f>
        <v>2.6549173369264416</v>
      </c>
      <c r="O4" s="205">
        <f t="shared" ref="O4:O37" si="3">M4+N4</f>
        <v>0.99999999999999978</v>
      </c>
      <c r="Q4" s="73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203">
        <f>A4.4.2!E5/A4.4.2!F5</f>
        <v>-2.3936877290168077</v>
      </c>
      <c r="E5" s="204">
        <f>A4.4.2!D5/A4.4.2!F5</f>
        <v>3.3936877290168077</v>
      </c>
      <c r="F5" s="204">
        <f t="shared" si="0"/>
        <v>1</v>
      </c>
      <c r="G5" s="203">
        <f>A4.4.2!H5/A4.4.2!I5</f>
        <v>-2.2085418103860914</v>
      </c>
      <c r="H5" s="204">
        <f>A4.4.2!G5/A4.4.2!I5</f>
        <v>3.2085418103860914</v>
      </c>
      <c r="I5" s="204">
        <f t="shared" si="1"/>
        <v>1</v>
      </c>
      <c r="J5" s="203">
        <f>A4.4.2!K5/A4.4.2!L5</f>
        <v>-2.3004797175915184</v>
      </c>
      <c r="K5" s="204">
        <f>A4.4.2!J5/A4.4.2!L5</f>
        <v>3.3004797175915184</v>
      </c>
      <c r="L5" s="204">
        <f t="shared" si="2"/>
        <v>1</v>
      </c>
      <c r="M5" s="203">
        <f>A4.4.2!N5/A4.4.2!O5</f>
        <v>-2.7450974394939887</v>
      </c>
      <c r="N5" s="204">
        <f>A4.4.2!M5/A4.4.2!O5</f>
        <v>3.7450974394939887</v>
      </c>
      <c r="O5" s="205">
        <f t="shared" si="3"/>
        <v>1</v>
      </c>
      <c r="Q5" s="73"/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203">
        <f>A4.4.2!E6/A4.4.2!F6</f>
        <v>-2.6507535498922126</v>
      </c>
      <c r="E6" s="204">
        <f>A4.4.2!D6/A4.4.2!F6</f>
        <v>3.6507535498922126</v>
      </c>
      <c r="F6" s="204">
        <f t="shared" si="0"/>
        <v>1</v>
      </c>
      <c r="G6" s="203">
        <f>A4.4.2!H6/A4.4.2!I6</f>
        <v>-2.8082624920442423</v>
      </c>
      <c r="H6" s="204">
        <f>A4.4.2!G6/A4.4.2!I6</f>
        <v>3.8082624920442423</v>
      </c>
      <c r="I6" s="204">
        <f t="shared" si="1"/>
        <v>1</v>
      </c>
      <c r="J6" s="203">
        <f>A4.4.2!K6/A4.4.2!L6</f>
        <v>-2.5498706729153167</v>
      </c>
      <c r="K6" s="204">
        <f>A4.4.2!J6/A4.4.2!L6</f>
        <v>3.5498706729153167</v>
      </c>
      <c r="L6" s="204">
        <f t="shared" si="2"/>
        <v>1</v>
      </c>
      <c r="M6" s="203">
        <f>A4.4.2!N6/A4.4.2!O6</f>
        <v>-2.7421345857789605</v>
      </c>
      <c r="N6" s="204">
        <f>A4.4.2!M6/A4.4.2!O6</f>
        <v>3.7421345857789605</v>
      </c>
      <c r="O6" s="205">
        <f t="shared" si="3"/>
        <v>1</v>
      </c>
      <c r="Q6" s="73"/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203">
        <f>A4.4.2!E7/A4.4.2!F7</f>
        <v>-2.0105634555245637</v>
      </c>
      <c r="E7" s="204">
        <f>A4.4.2!D7/A4.4.2!F7</f>
        <v>3.0105634555245637</v>
      </c>
      <c r="F7" s="204">
        <f t="shared" si="0"/>
        <v>1</v>
      </c>
      <c r="G7" s="203">
        <f>A4.4.2!H7/A4.4.2!I7</f>
        <v>-2.1493336359243229</v>
      </c>
      <c r="H7" s="204">
        <f>A4.4.2!G7/A4.4.2!I7</f>
        <v>3.1493336359243229</v>
      </c>
      <c r="I7" s="204">
        <f t="shared" si="1"/>
        <v>1</v>
      </c>
      <c r="J7" s="203">
        <f>A4.4.2!K7/A4.4.2!L7</f>
        <v>-2.0820888431128521</v>
      </c>
      <c r="K7" s="204">
        <f>A4.4.2!J7/A4.4.2!L7</f>
        <v>3.0820888431128521</v>
      </c>
      <c r="L7" s="204">
        <f t="shared" si="2"/>
        <v>1</v>
      </c>
      <c r="M7" s="203">
        <f>A4.4.2!N7/A4.4.2!O7</f>
        <v>-1.9297464190343023</v>
      </c>
      <c r="N7" s="204">
        <f>A4.4.2!M7/A4.4.2!O7</f>
        <v>2.9297464190343026</v>
      </c>
      <c r="O7" s="205">
        <f t="shared" si="3"/>
        <v>1.0000000000000002</v>
      </c>
      <c r="Q7" s="73"/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203">
        <f>A4.4.2!E8/A4.4.2!F8</f>
        <v>-3.2048163939137919</v>
      </c>
      <c r="E8" s="204">
        <f>A4.4.2!D8/A4.4.2!F8</f>
        <v>4.2048163939137915</v>
      </c>
      <c r="F8" s="204">
        <f t="shared" si="0"/>
        <v>0.99999999999999956</v>
      </c>
      <c r="G8" s="203">
        <f>A4.4.2!H8/A4.4.2!I8</f>
        <v>-3.4136626528163845</v>
      </c>
      <c r="H8" s="204">
        <f>A4.4.2!G8/A4.4.2!I8</f>
        <v>4.4136626528163845</v>
      </c>
      <c r="I8" s="204">
        <f t="shared" si="1"/>
        <v>1</v>
      </c>
      <c r="J8" s="203">
        <f>A4.4.2!K8/A4.4.2!L8</f>
        <v>-3.005702745409065</v>
      </c>
      <c r="K8" s="204">
        <f>A4.4.2!J8/A4.4.2!L8</f>
        <v>4.0057027454090646</v>
      </c>
      <c r="L8" s="204">
        <f t="shared" si="2"/>
        <v>0.99999999999999956</v>
      </c>
      <c r="M8" s="203">
        <f>A4.4.2!N8/A4.4.2!O8</f>
        <v>-3.0122030779511872</v>
      </c>
      <c r="N8" s="204">
        <f>A4.4.2!M8/A4.4.2!O8</f>
        <v>4.0122030779511872</v>
      </c>
      <c r="O8" s="205">
        <f t="shared" si="3"/>
        <v>1</v>
      </c>
      <c r="Q8" s="73"/>
    </row>
    <row r="9" spans="1:35" ht="13.35" customHeight="1">
      <c r="A9" s="13"/>
      <c r="B9" s="14" t="s">
        <v>64</v>
      </c>
      <c r="C9" s="14"/>
      <c r="D9" s="203">
        <f>A4.4.2!E9/A4.4.2!F9</f>
        <v>-2.4324230022261162</v>
      </c>
      <c r="E9" s="204">
        <f>A4.4.2!D9/A4.4.2!F9</f>
        <v>3.4324230022261162</v>
      </c>
      <c r="F9" s="204">
        <f t="shared" si="0"/>
        <v>1</v>
      </c>
      <c r="G9" s="203">
        <f>A4.4.2!H9/A4.4.2!I9</f>
        <v>-2.7216986993946208</v>
      </c>
      <c r="H9" s="204">
        <f>A4.4.2!G9/A4.4.2!I9</f>
        <v>3.7216986993946208</v>
      </c>
      <c r="I9" s="204">
        <f t="shared" si="1"/>
        <v>1</v>
      </c>
      <c r="J9" s="203">
        <f>A4.4.2!K9/A4.4.2!L9</f>
        <v>-2.5540976787439327</v>
      </c>
      <c r="K9" s="204">
        <f>A4.4.2!J9/A4.4.2!L9</f>
        <v>3.5540976787439327</v>
      </c>
      <c r="L9" s="204">
        <f t="shared" si="2"/>
        <v>1</v>
      </c>
      <c r="M9" s="203">
        <f>A4.4.2!N9/A4.4.2!O9</f>
        <v>-2.7282978220404237</v>
      </c>
      <c r="N9" s="204">
        <f>A4.4.2!M9/A4.4.2!O9</f>
        <v>3.7282978220404237</v>
      </c>
      <c r="O9" s="205">
        <f t="shared" si="3"/>
        <v>1</v>
      </c>
      <c r="Q9" s="73"/>
    </row>
    <row r="10" spans="1:35" ht="13.35" customHeight="1">
      <c r="A10" s="13"/>
      <c r="B10" s="14" t="s">
        <v>84</v>
      </c>
      <c r="C10" s="14"/>
      <c r="D10" s="203">
        <f>A4.4.2!E10/A4.4.2!F10</f>
        <v>-1.0750297252981513</v>
      </c>
      <c r="E10" s="204">
        <f>A4.4.2!D10/A4.4.2!F10</f>
        <v>2.0750297252981511</v>
      </c>
      <c r="F10" s="204">
        <f t="shared" si="0"/>
        <v>0.99999999999999978</v>
      </c>
      <c r="G10" s="203">
        <f>A4.4.2!H10/A4.4.2!I10</f>
        <v>-0.9631394187558856</v>
      </c>
      <c r="H10" s="204">
        <f>A4.4.2!G10/A4.4.2!I10</f>
        <v>1.9631394187558857</v>
      </c>
      <c r="I10" s="204">
        <f t="shared" si="1"/>
        <v>1</v>
      </c>
      <c r="J10" s="203">
        <f>A4.4.2!K10/A4.4.2!L10</f>
        <v>-2.1551317738821316</v>
      </c>
      <c r="K10" s="204">
        <f>A4.4.2!J10/A4.4.2!L10</f>
        <v>3.1551317738821316</v>
      </c>
      <c r="L10" s="204">
        <f t="shared" si="2"/>
        <v>1</v>
      </c>
      <c r="M10" s="203">
        <f>A4.4.2!N10/A4.4.2!O10</f>
        <v>-1.6862487889378248</v>
      </c>
      <c r="N10" s="204">
        <f>A4.4.2!M10/A4.4.2!O10</f>
        <v>2.6862487889378248</v>
      </c>
      <c r="O10" s="205">
        <f t="shared" si="3"/>
        <v>1</v>
      </c>
      <c r="Q10" s="73"/>
    </row>
    <row r="11" spans="1:35" s="29" customFormat="1" ht="13.35" customHeight="1">
      <c r="A11" s="27"/>
      <c r="B11" s="28" t="s">
        <v>1</v>
      </c>
      <c r="C11" s="28"/>
      <c r="D11" s="203">
        <f>A4.4.2!E11/A4.4.2!F11</f>
        <v>-1.967964420403681</v>
      </c>
      <c r="E11" s="204">
        <f>A4.4.2!D11/A4.4.2!F11</f>
        <v>2.967964420403681</v>
      </c>
      <c r="F11" s="204">
        <f t="shared" si="0"/>
        <v>1</v>
      </c>
      <c r="G11" s="203">
        <f>A4.4.2!H11/A4.4.2!I11</f>
        <v>-1.9158819655140025</v>
      </c>
      <c r="H11" s="204">
        <f>A4.4.2!G11/A4.4.2!I11</f>
        <v>2.9158819655140022</v>
      </c>
      <c r="I11" s="204">
        <f t="shared" si="1"/>
        <v>0.99999999999999978</v>
      </c>
      <c r="J11" s="203">
        <f>A4.4.2!K11/A4.4.2!L11</f>
        <v>-1.8460229633948673</v>
      </c>
      <c r="K11" s="204">
        <f>A4.4.2!J11/A4.4.2!L11</f>
        <v>2.8460229633948675</v>
      </c>
      <c r="L11" s="204">
        <f t="shared" si="2"/>
        <v>1.0000000000000002</v>
      </c>
      <c r="M11" s="203">
        <f>A4.4.2!N11/A4.4.2!O11</f>
        <v>-1.8442104352640381</v>
      </c>
      <c r="N11" s="204">
        <f>A4.4.2!M11/A4.4.2!O11</f>
        <v>2.8442104352640381</v>
      </c>
      <c r="O11" s="205">
        <f t="shared" si="3"/>
        <v>1</v>
      </c>
      <c r="Q11" s="73"/>
    </row>
    <row r="12" spans="1:35" s="29" customFormat="1" ht="13.35" customHeight="1">
      <c r="A12" s="27"/>
      <c r="B12" s="28" t="s">
        <v>65</v>
      </c>
      <c r="C12" s="28"/>
      <c r="D12" s="203">
        <f>A4.4.2!E12/A4.4.2!F12</f>
        <v>-1.2403225087063505</v>
      </c>
      <c r="E12" s="204">
        <f>A4.4.2!D12/A4.4.2!F12</f>
        <v>2.2403225087063507</v>
      </c>
      <c r="F12" s="204">
        <f t="shared" si="0"/>
        <v>1.0000000000000002</v>
      </c>
      <c r="G12" s="203">
        <f>A4.4.2!H12/A4.4.2!I12</f>
        <v>-1.1955202344283613</v>
      </c>
      <c r="H12" s="204">
        <f>A4.4.2!G12/A4.4.2!I12</f>
        <v>2.1955202344283613</v>
      </c>
      <c r="I12" s="204">
        <f t="shared" si="1"/>
        <v>1</v>
      </c>
      <c r="J12" s="203">
        <f>A4.4.2!K12/A4.4.2!L12</f>
        <v>-1.1272440258972054</v>
      </c>
      <c r="K12" s="204">
        <f>A4.4.2!J12/A4.4.2!L12</f>
        <v>2.1272440258972054</v>
      </c>
      <c r="L12" s="204">
        <f t="shared" si="2"/>
        <v>1</v>
      </c>
      <c r="M12" s="203">
        <f>A4.4.2!N12/A4.4.2!O12</f>
        <v>-1.1032282870802954</v>
      </c>
      <c r="N12" s="204">
        <f>A4.4.2!M12/A4.4.2!O12</f>
        <v>2.1032282870802956</v>
      </c>
      <c r="O12" s="205">
        <f t="shared" si="3"/>
        <v>1.0000000000000002</v>
      </c>
      <c r="Q12" s="73"/>
    </row>
    <row r="13" spans="1:35" s="29" customFormat="1" ht="13.35" customHeight="1">
      <c r="A13" s="27"/>
      <c r="B13" s="30" t="s">
        <v>85</v>
      </c>
      <c r="C13" s="30"/>
      <c r="D13" s="203">
        <f>A4.4.2!E13/A4.4.2!F13</f>
        <v>-1.9616916910101838</v>
      </c>
      <c r="E13" s="204">
        <f>A4.4.2!D13/A4.4.2!F13</f>
        <v>2.9616916910101838</v>
      </c>
      <c r="F13" s="204">
        <f t="shared" si="0"/>
        <v>1</v>
      </c>
      <c r="G13" s="203">
        <f>A4.4.2!H13/A4.4.2!I13</f>
        <v>-2.0346987267838927</v>
      </c>
      <c r="H13" s="204">
        <f>A4.4.2!G13/A4.4.2!I13</f>
        <v>3.0346987267838927</v>
      </c>
      <c r="I13" s="204">
        <f t="shared" si="1"/>
        <v>1</v>
      </c>
      <c r="J13" s="203">
        <f>A4.4.2!K13/A4.4.2!L13</f>
        <v>-1.7410350723893802</v>
      </c>
      <c r="K13" s="204">
        <f>A4.4.2!J13/A4.4.2!L13</f>
        <v>2.7410350723893799</v>
      </c>
      <c r="L13" s="204">
        <f t="shared" si="2"/>
        <v>0.99999999999999978</v>
      </c>
      <c r="M13" s="203">
        <f>A4.4.2!N13/A4.4.2!O13</f>
        <v>-1.8104504214207942</v>
      </c>
      <c r="N13" s="204">
        <f>A4.4.2!M13/A4.4.2!O13</f>
        <v>2.8104504214207942</v>
      </c>
      <c r="O13" s="205">
        <f t="shared" si="3"/>
        <v>1</v>
      </c>
      <c r="Q13" s="73"/>
    </row>
    <row r="14" spans="1:35" s="29" customFormat="1" ht="13.35" customHeight="1">
      <c r="A14" s="27"/>
      <c r="B14" s="30" t="s">
        <v>86</v>
      </c>
      <c r="C14" s="30"/>
      <c r="D14" s="203">
        <f>A4.4.2!E14/A4.4.2!F14</f>
        <v>-1.8545908023316813</v>
      </c>
      <c r="E14" s="204">
        <f>A4.4.2!D14/A4.4.2!F14</f>
        <v>2.8545908023316815</v>
      </c>
      <c r="F14" s="204">
        <f t="shared" si="0"/>
        <v>1.0000000000000002</v>
      </c>
      <c r="G14" s="203">
        <f>A4.4.2!H14/A4.4.2!I14</f>
        <v>-1.8264018661101142</v>
      </c>
      <c r="H14" s="204">
        <f>A4.4.2!G14/A4.4.2!I14</f>
        <v>2.8264018661101145</v>
      </c>
      <c r="I14" s="204">
        <f t="shared" si="1"/>
        <v>1.0000000000000002</v>
      </c>
      <c r="J14" s="203">
        <f>A4.4.2!K14/A4.4.2!L14</f>
        <v>-1.8224302263249659</v>
      </c>
      <c r="K14" s="204">
        <f>A4.4.2!J14/A4.4.2!L14</f>
        <v>2.8224302263249657</v>
      </c>
      <c r="L14" s="204">
        <f t="shared" si="2"/>
        <v>0.99999999999999978</v>
      </c>
      <c r="M14" s="203">
        <f>A4.4.2!N14/A4.4.2!O14</f>
        <v>-1.8298437269349119</v>
      </c>
      <c r="N14" s="204">
        <f>A4.4.2!M14/A4.4.2!O14</f>
        <v>2.8298437269349117</v>
      </c>
      <c r="O14" s="205">
        <f t="shared" si="3"/>
        <v>0.99999999999999978</v>
      </c>
      <c r="Q14" s="73"/>
    </row>
    <row r="15" spans="1:35" s="29" customFormat="1" ht="13.35" customHeight="1">
      <c r="A15" s="27"/>
      <c r="B15" s="30" t="s">
        <v>66</v>
      </c>
      <c r="C15" s="30"/>
      <c r="D15" s="203">
        <f>A4.4.2!E15/A4.4.2!F15</f>
        <v>-1.7131759371422604</v>
      </c>
      <c r="E15" s="204">
        <f>A4.4.2!D15/A4.4.2!F15</f>
        <v>2.7131759371422604</v>
      </c>
      <c r="F15" s="204">
        <f t="shared" si="0"/>
        <v>1</v>
      </c>
      <c r="G15" s="203">
        <f>A4.4.2!H15/A4.4.2!I15</f>
        <v>-2.0034896984525576</v>
      </c>
      <c r="H15" s="204">
        <f>A4.4.2!G15/A4.4.2!I15</f>
        <v>3.0034896984525576</v>
      </c>
      <c r="I15" s="204">
        <f t="shared" si="1"/>
        <v>1</v>
      </c>
      <c r="J15" s="203">
        <f>A4.4.2!K15/A4.4.2!L15</f>
        <v>-1.7399453948319505</v>
      </c>
      <c r="K15" s="204">
        <f>A4.4.2!J15/A4.4.2!L15</f>
        <v>2.7399453948319503</v>
      </c>
      <c r="L15" s="204">
        <f t="shared" si="2"/>
        <v>0.99999999999999978</v>
      </c>
      <c r="M15" s="203">
        <f>A4.4.2!N15/A4.4.2!O15</f>
        <v>-1.6119934493167851</v>
      </c>
      <c r="N15" s="204">
        <f>A4.4.2!M15/A4.4.2!O15</f>
        <v>2.6119934493167851</v>
      </c>
      <c r="O15" s="205">
        <f t="shared" si="3"/>
        <v>1</v>
      </c>
      <c r="Q15" s="73"/>
    </row>
    <row r="16" spans="1:35" s="29" customFormat="1" ht="13.35" customHeight="1">
      <c r="A16" s="27"/>
      <c r="B16" s="30" t="s">
        <v>87</v>
      </c>
      <c r="C16" s="30"/>
      <c r="D16" s="203">
        <f>A4.4.2!E16/A4.4.2!F16</f>
        <v>-4.0418576422134018</v>
      </c>
      <c r="E16" s="204">
        <f>A4.4.2!D16/A4.4.2!F16</f>
        <v>5.0418576422134018</v>
      </c>
      <c r="F16" s="204">
        <f t="shared" si="0"/>
        <v>1</v>
      </c>
      <c r="G16" s="203">
        <f>A4.4.2!H16/A4.4.2!I16</f>
        <v>-3.2076136266030488</v>
      </c>
      <c r="H16" s="204">
        <f>A4.4.2!G16/A4.4.2!I16</f>
        <v>4.2076136266030488</v>
      </c>
      <c r="I16" s="204">
        <f t="shared" si="1"/>
        <v>1</v>
      </c>
      <c r="J16" s="203">
        <f>A4.4.2!K16/A4.4.2!L16</f>
        <v>-3.1120857058548816</v>
      </c>
      <c r="K16" s="204">
        <f>A4.4.2!J16/A4.4.2!L16</f>
        <v>4.1120857058548816</v>
      </c>
      <c r="L16" s="204">
        <f t="shared" si="2"/>
        <v>1</v>
      </c>
      <c r="M16" s="203">
        <f>A4.4.2!N16/A4.4.2!O16</f>
        <v>-3.0703936961498068</v>
      </c>
      <c r="N16" s="204">
        <f>A4.4.2!M16/A4.4.2!O16</f>
        <v>4.0703936961498073</v>
      </c>
      <c r="O16" s="205">
        <f t="shared" si="3"/>
        <v>1.0000000000000004</v>
      </c>
      <c r="Q16" s="73"/>
    </row>
    <row r="17" spans="1:17" s="29" customFormat="1" ht="13.35" customHeight="1">
      <c r="A17" s="27"/>
      <c r="B17" s="30" t="s">
        <v>67</v>
      </c>
      <c r="C17" s="30"/>
      <c r="D17" s="203">
        <f>A4.4.2!E17/A4.4.2!F17</f>
        <v>-2.7818405115451799</v>
      </c>
      <c r="E17" s="204">
        <f>A4.4.2!D17/A4.4.2!F17</f>
        <v>3.7818405115451799</v>
      </c>
      <c r="F17" s="204">
        <f t="shared" si="0"/>
        <v>1</v>
      </c>
      <c r="G17" s="203">
        <f>A4.4.2!H17/A4.4.2!I17</f>
        <v>-2.5173407105488264</v>
      </c>
      <c r="H17" s="204">
        <f>A4.4.2!G17/A4.4.2!I17</f>
        <v>3.5173407105488264</v>
      </c>
      <c r="I17" s="204">
        <f t="shared" si="1"/>
        <v>1</v>
      </c>
      <c r="J17" s="203">
        <f>A4.4.2!K17/A4.4.2!L17</f>
        <v>-1.9529783457683429</v>
      </c>
      <c r="K17" s="204">
        <f>A4.4.2!J17/A4.4.2!L17</f>
        <v>2.9529783457683427</v>
      </c>
      <c r="L17" s="204">
        <f t="shared" si="2"/>
        <v>0.99999999999999978</v>
      </c>
      <c r="M17" s="203">
        <f>A4.4.2!N17/A4.4.2!O17</f>
        <v>-2.0802750377120982</v>
      </c>
      <c r="N17" s="204">
        <f>A4.4.2!M17/A4.4.2!O17</f>
        <v>3.0802750377120982</v>
      </c>
      <c r="O17" s="205">
        <f t="shared" si="3"/>
        <v>1</v>
      </c>
      <c r="Q17" s="73"/>
    </row>
    <row r="18" spans="1:17" s="29" customFormat="1" ht="13.35" customHeight="1">
      <c r="A18" s="27"/>
      <c r="B18" s="30" t="s">
        <v>88</v>
      </c>
      <c r="C18" s="30"/>
      <c r="D18" s="203">
        <f>A4.4.2!E18/A4.4.2!F18</f>
        <v>-1.0169711288100167</v>
      </c>
      <c r="E18" s="204">
        <f>A4.4.2!D18/A4.4.2!F18</f>
        <v>2.0169711288100167</v>
      </c>
      <c r="F18" s="204">
        <f t="shared" si="0"/>
        <v>1</v>
      </c>
      <c r="G18" s="203">
        <f>A4.4.2!H18/A4.4.2!I18</f>
        <v>-1.0596787387216826</v>
      </c>
      <c r="H18" s="204">
        <f>A4.4.2!G18/A4.4.2!I18</f>
        <v>2.0596787387216824</v>
      </c>
      <c r="I18" s="204">
        <f t="shared" si="1"/>
        <v>0.99999999999999978</v>
      </c>
      <c r="J18" s="203">
        <f>A4.4.2!K18/A4.4.2!L18</f>
        <v>-0.99156938707246456</v>
      </c>
      <c r="K18" s="204">
        <f>A4.4.2!J18/A4.4.2!L18</f>
        <v>1.9915693870724644</v>
      </c>
      <c r="L18" s="204">
        <f t="shared" si="2"/>
        <v>0.99999999999999989</v>
      </c>
      <c r="M18" s="203">
        <f>A4.4.2!N18/A4.4.2!O18</f>
        <v>-1.0125110791192473</v>
      </c>
      <c r="N18" s="204">
        <f>A4.4.2!M18/A4.4.2!O18</f>
        <v>2.0125110791192471</v>
      </c>
      <c r="O18" s="205">
        <f t="shared" si="3"/>
        <v>0.99999999999999978</v>
      </c>
      <c r="Q18" s="73"/>
    </row>
    <row r="19" spans="1:17" s="29" customFormat="1" ht="13.35" customHeight="1">
      <c r="A19" s="27"/>
      <c r="B19" s="30" t="s">
        <v>139</v>
      </c>
      <c r="C19" s="30"/>
      <c r="D19" s="203">
        <f>A4.4.2!E19/A4.4.2!F19</f>
        <v>-3.0576663344816501</v>
      </c>
      <c r="E19" s="204">
        <f>A4.4.2!D19/A4.4.2!F19</f>
        <v>4.0576663344816497</v>
      </c>
      <c r="F19" s="204">
        <f t="shared" si="0"/>
        <v>0.99999999999999956</v>
      </c>
      <c r="G19" s="203">
        <f>A4.4.2!H19/A4.4.2!I19</f>
        <v>-2.8731685874612842</v>
      </c>
      <c r="H19" s="204">
        <f>A4.4.2!G19/A4.4.2!I19</f>
        <v>3.8731685874612842</v>
      </c>
      <c r="I19" s="204">
        <f t="shared" si="1"/>
        <v>1</v>
      </c>
      <c r="J19" s="203">
        <f>A4.4.2!K19/A4.4.2!L19</f>
        <v>-2.6091404358349783</v>
      </c>
      <c r="K19" s="204">
        <f>A4.4.2!J19/A4.4.2!L19</f>
        <v>3.6091404358349783</v>
      </c>
      <c r="L19" s="204">
        <f t="shared" si="2"/>
        <v>1</v>
      </c>
      <c r="M19" s="203">
        <f>A4.4.2!N19/A4.4.2!O19</f>
        <v>-2.6640609033853218</v>
      </c>
      <c r="N19" s="204">
        <f>A4.4.2!M19/A4.4.2!O19</f>
        <v>3.6640609033853218</v>
      </c>
      <c r="O19" s="205">
        <f t="shared" si="3"/>
        <v>1</v>
      </c>
      <c r="Q19" s="73"/>
    </row>
    <row r="20" spans="1:17" s="29" customFormat="1" ht="13.35" customHeight="1">
      <c r="A20" s="27"/>
      <c r="B20" s="30" t="s">
        <v>68</v>
      </c>
      <c r="C20" s="30"/>
      <c r="D20" s="203">
        <f>A4.4.2!E20/A4.4.2!F20</f>
        <v>-1.7972681575263447</v>
      </c>
      <c r="E20" s="204">
        <f>A4.4.2!D20/A4.4.2!F20</f>
        <v>2.7972681575263447</v>
      </c>
      <c r="F20" s="204">
        <f t="shared" si="0"/>
        <v>1</v>
      </c>
      <c r="G20" s="203">
        <f>A4.4.2!H20/A4.4.2!I20</f>
        <v>-1.7245729372142515</v>
      </c>
      <c r="H20" s="204">
        <f>A4.4.2!G20/A4.4.2!I20</f>
        <v>2.7245729372142518</v>
      </c>
      <c r="I20" s="204">
        <f t="shared" si="1"/>
        <v>1.0000000000000002</v>
      </c>
      <c r="J20" s="203">
        <f>A4.4.2!K20/A4.4.2!L20</f>
        <v>-1.8742360819046582</v>
      </c>
      <c r="K20" s="204">
        <f>A4.4.2!J20/A4.4.2!L20</f>
        <v>2.8742360819046584</v>
      </c>
      <c r="L20" s="204">
        <f t="shared" si="2"/>
        <v>1.0000000000000002</v>
      </c>
      <c r="M20" s="203">
        <f>A4.4.2!N20/A4.4.2!O20</f>
        <v>-1.9714703366807595</v>
      </c>
      <c r="N20" s="204">
        <f>A4.4.2!M20/A4.4.2!O20</f>
        <v>2.9714703366807598</v>
      </c>
      <c r="O20" s="205">
        <f t="shared" si="3"/>
        <v>1.0000000000000002</v>
      </c>
      <c r="Q20" s="73"/>
    </row>
    <row r="21" spans="1:17" s="29" customFormat="1" ht="13.35" customHeight="1">
      <c r="A21" s="27"/>
      <c r="B21" s="30" t="s">
        <v>69</v>
      </c>
      <c r="C21" s="30"/>
      <c r="D21" s="203">
        <f>A4.4.2!E21/A4.4.2!F21</f>
        <v>-2.5224376030117788</v>
      </c>
      <c r="E21" s="204">
        <f>A4.4.2!D21/A4.4.2!F21</f>
        <v>3.5224376030117788</v>
      </c>
      <c r="F21" s="204">
        <f t="shared" si="0"/>
        <v>1</v>
      </c>
      <c r="G21" s="203">
        <f>A4.4.2!H21/A4.4.2!I21</f>
        <v>-2.5262340055075887</v>
      </c>
      <c r="H21" s="204">
        <f>A4.4.2!G21/A4.4.2!I21</f>
        <v>3.5262340055075887</v>
      </c>
      <c r="I21" s="204">
        <f t="shared" si="1"/>
        <v>1</v>
      </c>
      <c r="J21" s="203">
        <f>A4.4.2!K21/A4.4.2!L21</f>
        <v>-2.3057728791798278</v>
      </c>
      <c r="K21" s="204">
        <f>A4.4.2!J21/A4.4.2!L21</f>
        <v>3.3057728791798278</v>
      </c>
      <c r="L21" s="204">
        <f t="shared" si="2"/>
        <v>1</v>
      </c>
      <c r="M21" s="203">
        <f>A4.4.2!N21/A4.4.2!O21</f>
        <v>-2.389177248352512</v>
      </c>
      <c r="N21" s="204">
        <f>A4.4.2!M21/A4.4.2!O21</f>
        <v>3.389177248352512</v>
      </c>
      <c r="O21" s="205">
        <f t="shared" si="3"/>
        <v>1</v>
      </c>
      <c r="Q21" s="73"/>
    </row>
    <row r="22" spans="1:17" s="29" customFormat="1" ht="13.35" customHeight="1">
      <c r="A22" s="27"/>
      <c r="B22" s="30" t="s">
        <v>70</v>
      </c>
      <c r="C22" s="30"/>
      <c r="D22" s="203">
        <f>A4.4.2!E22/A4.4.2!F22</f>
        <v>-2.2065563979717164</v>
      </c>
      <c r="E22" s="204">
        <f>A4.4.2!D22/A4.4.2!F22</f>
        <v>3.2065563979717164</v>
      </c>
      <c r="F22" s="204">
        <f t="shared" si="0"/>
        <v>1</v>
      </c>
      <c r="G22" s="203">
        <f>A4.4.2!H22/A4.4.2!I22</f>
        <v>-2.4420136415801763</v>
      </c>
      <c r="H22" s="204">
        <f>A4.4.2!G22/A4.4.2!I22</f>
        <v>3.4420136415801763</v>
      </c>
      <c r="I22" s="204">
        <f t="shared" si="1"/>
        <v>1</v>
      </c>
      <c r="J22" s="203">
        <f>A4.4.2!K22/A4.4.2!L22</f>
        <v>-2.2286304061504083</v>
      </c>
      <c r="K22" s="204">
        <f>A4.4.2!J22/A4.4.2!L22</f>
        <v>3.2286304061504083</v>
      </c>
      <c r="L22" s="204">
        <f t="shared" si="2"/>
        <v>1</v>
      </c>
      <c r="M22" s="203">
        <f>A4.4.2!N22/A4.4.2!O22</f>
        <v>-2.2307338355040804</v>
      </c>
      <c r="N22" s="204">
        <f>A4.4.2!M22/A4.4.2!O22</f>
        <v>3.2307338355040804</v>
      </c>
      <c r="O22" s="205">
        <f t="shared" si="3"/>
        <v>1</v>
      </c>
      <c r="Q22" s="73"/>
    </row>
    <row r="23" spans="1:17" s="29" customFormat="1" ht="13.35" customHeight="1">
      <c r="A23" s="27"/>
      <c r="B23" s="30" t="s">
        <v>71</v>
      </c>
      <c r="C23" s="30"/>
      <c r="D23" s="203">
        <f>A4.4.2!E23/A4.4.2!F23</f>
        <v>-1.1873703343131925</v>
      </c>
      <c r="E23" s="204">
        <f>A4.4.2!D23/A4.4.2!F23</f>
        <v>2.1873703343131927</v>
      </c>
      <c r="F23" s="204">
        <f t="shared" si="0"/>
        <v>1.0000000000000002</v>
      </c>
      <c r="G23" s="203">
        <f>A4.4.2!H23/A4.4.2!I23</f>
        <v>-1.2506444618230037</v>
      </c>
      <c r="H23" s="204">
        <f>A4.4.2!G23/A4.4.2!I23</f>
        <v>2.2506444618230037</v>
      </c>
      <c r="I23" s="204">
        <f t="shared" si="1"/>
        <v>1</v>
      </c>
      <c r="J23" s="203">
        <f>A4.4.2!K23/A4.4.2!L23</f>
        <v>-1.2105947707765108</v>
      </c>
      <c r="K23" s="204">
        <f>A4.4.2!J23/A4.4.2!L23</f>
        <v>2.210594770776511</v>
      </c>
      <c r="L23" s="204">
        <f t="shared" si="2"/>
        <v>1.0000000000000002</v>
      </c>
      <c r="M23" s="203">
        <f>A4.4.2!N23/A4.4.2!O23</f>
        <v>-1.1676070209198073</v>
      </c>
      <c r="N23" s="204">
        <f>A4.4.2!M23/A4.4.2!O23</f>
        <v>2.1676070209198075</v>
      </c>
      <c r="O23" s="205">
        <f t="shared" si="3"/>
        <v>1.0000000000000002</v>
      </c>
      <c r="Q23" s="73"/>
    </row>
    <row r="24" spans="1:17" s="29" customFormat="1" ht="13.35" customHeight="1">
      <c r="A24" s="27"/>
      <c r="B24" s="30" t="s">
        <v>103</v>
      </c>
      <c r="C24" s="30"/>
      <c r="D24" s="203">
        <f>A4.4.2!E24/A4.4.2!F24</f>
        <v>-0.71170565712627432</v>
      </c>
      <c r="E24" s="204">
        <f>A4.4.2!D24/A4.4.2!F24</f>
        <v>1.7117056571262743</v>
      </c>
      <c r="F24" s="204">
        <f t="shared" si="0"/>
        <v>1</v>
      </c>
      <c r="G24" s="203">
        <f>A4.4.2!H24/A4.4.2!I24</f>
        <v>-1.977201056672564</v>
      </c>
      <c r="H24" s="204">
        <f>A4.4.2!G24/A4.4.2!I24</f>
        <v>2.977201056672564</v>
      </c>
      <c r="I24" s="204">
        <f t="shared" si="1"/>
        <v>1</v>
      </c>
      <c r="J24" s="203">
        <f>A4.4.2!K24/A4.4.2!L24</f>
        <v>-1.8707887420867504</v>
      </c>
      <c r="K24" s="204">
        <f>A4.4.2!J24/A4.4.2!L24</f>
        <v>2.8707887420867504</v>
      </c>
      <c r="L24" s="204">
        <f t="shared" si="2"/>
        <v>1</v>
      </c>
      <c r="M24" s="203">
        <f>A4.4.2!N24/A4.4.2!O24</f>
        <v>-2.3976477428183709</v>
      </c>
      <c r="N24" s="204">
        <f>A4.4.2!M24/A4.4.2!O24</f>
        <v>3.3976477428183709</v>
      </c>
      <c r="O24" s="205">
        <f t="shared" si="3"/>
        <v>1</v>
      </c>
      <c r="Q24" s="73"/>
    </row>
    <row r="25" spans="1:17" s="29" customFormat="1" ht="13.35" customHeight="1">
      <c r="A25" s="27"/>
      <c r="B25" s="30" t="s">
        <v>89</v>
      </c>
      <c r="C25" s="30"/>
      <c r="D25" s="203">
        <f>A4.4.2!E25/A4.4.2!F25</f>
        <v>-1.3508682111223196</v>
      </c>
      <c r="E25" s="204">
        <f>A4.4.2!D25/A4.4.2!F25</f>
        <v>2.3508682111223194</v>
      </c>
      <c r="F25" s="204">
        <f t="shared" si="0"/>
        <v>0.99999999999999978</v>
      </c>
      <c r="G25" s="203">
        <f>A4.4.2!H25/A4.4.2!I25</f>
        <v>-1.3032615439914987</v>
      </c>
      <c r="H25" s="204">
        <f>A4.4.2!G25/A4.4.2!I25</f>
        <v>2.303261543991499</v>
      </c>
      <c r="I25" s="204">
        <f t="shared" si="1"/>
        <v>1.0000000000000002</v>
      </c>
      <c r="J25" s="203">
        <f>A4.4.2!K25/A4.4.2!L25</f>
        <v>-1.268512423434081</v>
      </c>
      <c r="K25" s="204">
        <f>A4.4.2!J25/A4.4.2!L25</f>
        <v>2.268512423434081</v>
      </c>
      <c r="L25" s="204">
        <f t="shared" si="2"/>
        <v>1</v>
      </c>
      <c r="M25" s="203">
        <f>A4.4.2!N25/A4.4.2!O25</f>
        <v>-1.1282821336945992</v>
      </c>
      <c r="N25" s="204">
        <f>A4.4.2!M25/A4.4.2!O25</f>
        <v>2.1282821336945994</v>
      </c>
      <c r="O25" s="205">
        <f t="shared" si="3"/>
        <v>1.0000000000000002</v>
      </c>
      <c r="Q25" s="73"/>
    </row>
    <row r="26" spans="1:17" s="29" customFormat="1" ht="13.35" customHeight="1">
      <c r="A26" s="27"/>
      <c r="B26" s="30" t="s">
        <v>72</v>
      </c>
      <c r="C26" s="30"/>
      <c r="D26" s="203">
        <f>A4.4.2!E26/A4.4.2!F26</f>
        <v>-0.9508149564814794</v>
      </c>
      <c r="E26" s="204">
        <f>A4.4.2!D26/A4.4.2!F26</f>
        <v>1.9508149564814794</v>
      </c>
      <c r="F26" s="204">
        <f t="shared" si="0"/>
        <v>1</v>
      </c>
      <c r="G26" s="203">
        <f>A4.4.2!H26/A4.4.2!I26</f>
        <v>-1.0432606304536574</v>
      </c>
      <c r="H26" s="204">
        <f>A4.4.2!G26/A4.4.2!I26</f>
        <v>2.0432606304536574</v>
      </c>
      <c r="I26" s="204">
        <f t="shared" si="1"/>
        <v>1</v>
      </c>
      <c r="J26" s="203">
        <f>A4.4.2!K26/A4.4.2!L26</f>
        <v>-0.75929983008940882</v>
      </c>
      <c r="K26" s="204">
        <f>A4.4.2!J26/A4.4.2!L26</f>
        <v>1.7592998300894087</v>
      </c>
      <c r="L26" s="204">
        <f t="shared" si="2"/>
        <v>0.99999999999999989</v>
      </c>
      <c r="M26" s="203">
        <f>A4.4.2!N26/A4.4.2!O26</f>
        <v>-0.8133099004903771</v>
      </c>
      <c r="N26" s="204">
        <f>A4.4.2!M26/A4.4.2!O26</f>
        <v>1.813309900490377</v>
      </c>
      <c r="O26" s="205">
        <f t="shared" si="3"/>
        <v>0.99999999999999989</v>
      </c>
      <c r="Q26" s="73"/>
    </row>
    <row r="27" spans="1:17" s="29" customFormat="1" ht="13.35" customHeight="1">
      <c r="A27" s="27"/>
      <c r="B27" s="30" t="s">
        <v>73</v>
      </c>
      <c r="C27" s="30"/>
      <c r="D27" s="203">
        <f>A4.4.2!E27/A4.4.2!F27</f>
        <v>-5.4226733956567799</v>
      </c>
      <c r="E27" s="204">
        <f>A4.4.2!D27/A4.4.2!F27</f>
        <v>6.4226733956567799</v>
      </c>
      <c r="F27" s="204">
        <f t="shared" si="0"/>
        <v>1</v>
      </c>
      <c r="G27" s="203">
        <f>A4.4.2!H27/A4.4.2!I27</f>
        <v>-5.3502145083634121</v>
      </c>
      <c r="H27" s="204">
        <f>A4.4.2!G27/A4.4.2!I27</f>
        <v>6.3502145083634121</v>
      </c>
      <c r="I27" s="204">
        <f t="shared" si="1"/>
        <v>1</v>
      </c>
      <c r="J27" s="203">
        <f>A4.4.2!K27/A4.4.2!L27</f>
        <v>-5.334791174372838</v>
      </c>
      <c r="K27" s="204">
        <f>A4.4.2!J27/A4.4.2!L27</f>
        <v>6.334791174372838</v>
      </c>
      <c r="L27" s="204">
        <f t="shared" si="2"/>
        <v>1</v>
      </c>
      <c r="M27" s="203">
        <f>A4.4.2!N27/A4.4.2!O27</f>
        <v>-5.3291497793058795</v>
      </c>
      <c r="N27" s="204">
        <f>A4.4.2!M27/A4.4.2!O27</f>
        <v>6.3291497793058795</v>
      </c>
      <c r="O27" s="205">
        <f t="shared" si="3"/>
        <v>1</v>
      </c>
      <c r="Q27" s="73"/>
    </row>
    <row r="28" spans="1:17" s="29" customFormat="1" ht="13.35" customHeight="1">
      <c r="A28" s="27"/>
      <c r="B28" s="30" t="s">
        <v>74</v>
      </c>
      <c r="C28" s="30"/>
      <c r="D28" s="203">
        <f>A4.4.2!E28/A4.4.2!F28</f>
        <v>-1.9659754711581037</v>
      </c>
      <c r="E28" s="204">
        <f>A4.4.2!D28/A4.4.2!F28</f>
        <v>2.9659754711581034</v>
      </c>
      <c r="F28" s="204">
        <f t="shared" si="0"/>
        <v>0.99999999999999978</v>
      </c>
      <c r="G28" s="203">
        <f>A4.4.2!H28/A4.4.2!I28</f>
        <v>-1.9679122007435581</v>
      </c>
      <c r="H28" s="204">
        <f>A4.4.2!G28/A4.4.2!I28</f>
        <v>2.9679122007435583</v>
      </c>
      <c r="I28" s="204">
        <f t="shared" si="1"/>
        <v>1.0000000000000002</v>
      </c>
      <c r="J28" s="203">
        <f>A4.4.2!K28/A4.4.2!L28</f>
        <v>-1.713333994852924</v>
      </c>
      <c r="K28" s="204">
        <f>A4.4.2!J28/A4.4.2!L28</f>
        <v>2.713333994852924</v>
      </c>
      <c r="L28" s="204">
        <f t="shared" si="2"/>
        <v>1</v>
      </c>
      <c r="M28" s="203">
        <f>A4.4.2!N28/A4.4.2!O28</f>
        <v>-1.76491008483958</v>
      </c>
      <c r="N28" s="204">
        <f>A4.4.2!M28/A4.4.2!O28</f>
        <v>2.7649100848395798</v>
      </c>
      <c r="O28" s="205">
        <f t="shared" si="3"/>
        <v>0.99999999999999978</v>
      </c>
      <c r="Q28" s="73"/>
    </row>
    <row r="29" spans="1:17" s="29" customFormat="1" ht="13.35" customHeight="1">
      <c r="A29" s="27"/>
      <c r="B29" s="30" t="s">
        <v>75</v>
      </c>
      <c r="C29" s="30"/>
      <c r="D29" s="203">
        <f>A4.4.2!E29/A4.4.2!F29</f>
        <v>-1.0020161003257086</v>
      </c>
      <c r="E29" s="204">
        <f>A4.4.2!D29/A4.4.2!F29</f>
        <v>2.0020161003257084</v>
      </c>
      <c r="F29" s="204">
        <f t="shared" si="0"/>
        <v>0.99999999999999978</v>
      </c>
      <c r="G29" s="203">
        <f>A4.4.2!H29/A4.4.2!I29</f>
        <v>-0.99981693881032563</v>
      </c>
      <c r="H29" s="204">
        <f>A4.4.2!G29/A4.4.2!I29</f>
        <v>1.9998169388103255</v>
      </c>
      <c r="I29" s="204">
        <f t="shared" si="1"/>
        <v>0.99999999999999989</v>
      </c>
      <c r="J29" s="203">
        <f>A4.4.2!K29/A4.4.2!L29</f>
        <v>-0.95217222461889517</v>
      </c>
      <c r="K29" s="204">
        <f>A4.4.2!J29/A4.4.2!L29</f>
        <v>1.9521722246188953</v>
      </c>
      <c r="L29" s="204">
        <f t="shared" si="2"/>
        <v>1</v>
      </c>
      <c r="M29" s="203">
        <f>A4.4.2!N29/A4.4.2!O29</f>
        <v>-0.94554858474133785</v>
      </c>
      <c r="N29" s="204">
        <f>A4.4.2!M29/A4.4.2!O29</f>
        <v>1.9455485847413378</v>
      </c>
      <c r="O29" s="205">
        <f t="shared" si="3"/>
        <v>1</v>
      </c>
      <c r="Q29" s="73"/>
    </row>
    <row r="30" spans="1:17" s="29" customFormat="1" ht="13.35" customHeight="1">
      <c r="A30" s="27"/>
      <c r="B30" s="30" t="s">
        <v>90</v>
      </c>
      <c r="C30" s="30"/>
      <c r="D30" s="203">
        <f>A4.4.2!E30/A4.4.2!F30</f>
        <v>-2.1182341680015333</v>
      </c>
      <c r="E30" s="204">
        <f>A4.4.2!D30/A4.4.2!F30</f>
        <v>3.1182341680015333</v>
      </c>
      <c r="F30" s="204">
        <f t="shared" si="0"/>
        <v>1</v>
      </c>
      <c r="G30" s="203">
        <f>A4.4.2!H30/A4.4.2!I30</f>
        <v>-2.107834729896001</v>
      </c>
      <c r="H30" s="204">
        <f>A4.4.2!G30/A4.4.2!I30</f>
        <v>3.107834729896001</v>
      </c>
      <c r="I30" s="204">
        <f t="shared" si="1"/>
        <v>1</v>
      </c>
      <c r="J30" s="203">
        <f>A4.4.2!K30/A4.4.2!L30</f>
        <v>-2.1314239586535213</v>
      </c>
      <c r="K30" s="204">
        <f>A4.4.2!J30/A4.4.2!L30</f>
        <v>3.1314239586535213</v>
      </c>
      <c r="L30" s="204">
        <f t="shared" si="2"/>
        <v>1</v>
      </c>
      <c r="M30" s="203">
        <f>A4.4.2!N30/A4.4.2!O30</f>
        <v>-2.0886667121633899</v>
      </c>
      <c r="N30" s="204">
        <f>A4.4.2!M30/A4.4.2!O30</f>
        <v>3.0886667121633899</v>
      </c>
      <c r="O30" s="205">
        <f t="shared" si="3"/>
        <v>1</v>
      </c>
      <c r="Q30" s="73"/>
    </row>
    <row r="31" spans="1:17" s="29" customFormat="1" ht="13.35" customHeight="1">
      <c r="A31" s="27"/>
      <c r="B31" s="30" t="s">
        <v>2</v>
      </c>
      <c r="C31" s="30"/>
      <c r="D31" s="203">
        <f>A4.4.2!E31/A4.4.2!F31</f>
        <v>-2.622255924421975</v>
      </c>
      <c r="E31" s="204">
        <f>A4.4.2!D31/A4.4.2!F31</f>
        <v>3.622255924421975</v>
      </c>
      <c r="F31" s="204">
        <f t="shared" si="0"/>
        <v>1</v>
      </c>
      <c r="G31" s="203">
        <f>A4.4.2!H31/A4.4.2!I31</f>
        <v>-2.4852248446534451</v>
      </c>
      <c r="H31" s="204">
        <f>A4.4.2!G31/A4.4.2!I31</f>
        <v>3.4852248446534451</v>
      </c>
      <c r="I31" s="204">
        <f t="shared" si="1"/>
        <v>1</v>
      </c>
      <c r="J31" s="203">
        <f>A4.4.2!K31/A4.4.2!L31</f>
        <v>-2.3375482756539738</v>
      </c>
      <c r="K31" s="204">
        <f>A4.4.2!J31/A4.4.2!L31</f>
        <v>3.3375482756539738</v>
      </c>
      <c r="L31" s="204">
        <f t="shared" si="2"/>
        <v>1</v>
      </c>
      <c r="M31" s="203">
        <f>A4.4.2!N31/A4.4.2!O31</f>
        <v>-2.349904322333876</v>
      </c>
      <c r="N31" s="204">
        <f>A4.4.2!M31/A4.4.2!O31</f>
        <v>3.349904322333876</v>
      </c>
      <c r="O31" s="205">
        <f t="shared" si="3"/>
        <v>1</v>
      </c>
      <c r="Q31" s="73"/>
    </row>
    <row r="32" spans="1:17" s="29" customFormat="1" ht="13.35" customHeight="1">
      <c r="A32" s="27"/>
      <c r="B32" s="30" t="s">
        <v>76</v>
      </c>
      <c r="C32" s="30"/>
      <c r="D32" s="203">
        <f>A4.4.2!E32/A4.4.2!F32</f>
        <v>-1.9336394735590918</v>
      </c>
      <c r="E32" s="204">
        <f>A4.4.2!D32/A4.4.2!F32</f>
        <v>2.9336394735590918</v>
      </c>
      <c r="F32" s="204">
        <f t="shared" si="0"/>
        <v>1</v>
      </c>
      <c r="G32" s="203">
        <f>A4.4.2!H32/A4.4.2!I32</f>
        <v>-2.0787123957542946</v>
      </c>
      <c r="H32" s="204">
        <f>A4.4.2!G32/A4.4.2!I32</f>
        <v>3.0787123957542946</v>
      </c>
      <c r="I32" s="204">
        <f t="shared" si="1"/>
        <v>1</v>
      </c>
      <c r="J32" s="203">
        <f>A4.4.2!K32/A4.4.2!L32</f>
        <v>-1.7160479996063813</v>
      </c>
      <c r="K32" s="204">
        <f>A4.4.2!J32/A4.4.2!L32</f>
        <v>2.7160479996063813</v>
      </c>
      <c r="L32" s="204">
        <f t="shared" si="2"/>
        <v>1</v>
      </c>
      <c r="M32" s="203">
        <f>A4.4.2!N32/A4.4.2!O32</f>
        <v>-1.7946879239928784</v>
      </c>
      <c r="N32" s="204">
        <f>A4.4.2!M32/A4.4.2!O32</f>
        <v>2.7946879239928784</v>
      </c>
      <c r="O32" s="205">
        <f t="shared" si="3"/>
        <v>1</v>
      </c>
      <c r="Q32" s="73"/>
    </row>
    <row r="33" spans="1:17" s="29" customFormat="1" ht="13.35" customHeight="1">
      <c r="A33" s="27"/>
      <c r="B33" s="30" t="s">
        <v>77</v>
      </c>
      <c r="C33" s="30"/>
      <c r="D33" s="203">
        <f>A4.4.2!E33/A4.4.2!F33</f>
        <v>-1.8286635911621789</v>
      </c>
      <c r="E33" s="204">
        <f>A4.4.2!D33/A4.4.2!F33</f>
        <v>2.8286635911621789</v>
      </c>
      <c r="F33" s="204">
        <f t="shared" si="0"/>
        <v>1</v>
      </c>
      <c r="G33" s="203">
        <f>A4.4.2!H33/A4.4.2!I33</f>
        <v>-1.9581314255490345</v>
      </c>
      <c r="H33" s="204">
        <f>A4.4.2!G33/A4.4.2!I33</f>
        <v>2.9581314255490345</v>
      </c>
      <c r="I33" s="204">
        <f t="shared" si="1"/>
        <v>1</v>
      </c>
      <c r="J33" s="203">
        <f>A4.4.2!K33/A4.4.2!L33</f>
        <v>-1.7548479629958489</v>
      </c>
      <c r="K33" s="204">
        <f>A4.4.2!J33/A4.4.2!L33</f>
        <v>2.7548479629958487</v>
      </c>
      <c r="L33" s="204">
        <f t="shared" si="2"/>
        <v>0.99999999999999978</v>
      </c>
      <c r="M33" s="203">
        <f>A4.4.2!N33/A4.4.2!O33</f>
        <v>-1.8348833204987376</v>
      </c>
      <c r="N33" s="204">
        <f>A4.4.2!M33/A4.4.2!O33</f>
        <v>2.8348833204987374</v>
      </c>
      <c r="O33" s="205">
        <f t="shared" si="3"/>
        <v>0.99999999999999978</v>
      </c>
      <c r="Q33" s="73"/>
    </row>
    <row r="34" spans="1:17" s="33" customFormat="1" ht="13.35" customHeight="1">
      <c r="A34" s="31"/>
      <c r="B34" s="32" t="s">
        <v>91</v>
      </c>
      <c r="C34" s="32"/>
      <c r="D34" s="203">
        <f>A4.4.2!E34/A4.4.2!F34</f>
        <v>-5.0111526500176931</v>
      </c>
      <c r="E34" s="204">
        <f>A4.4.2!D34/A4.4.2!F34</f>
        <v>6.0111526500176931</v>
      </c>
      <c r="F34" s="204">
        <f t="shared" si="0"/>
        <v>1</v>
      </c>
      <c r="G34" s="203">
        <f>A4.4.2!H34/A4.4.2!I34</f>
        <v>-4.2807205286434442</v>
      </c>
      <c r="H34" s="204">
        <f>A4.4.2!G34/A4.4.2!I34</f>
        <v>5.2807205286434442</v>
      </c>
      <c r="I34" s="204">
        <f t="shared" si="1"/>
        <v>1</v>
      </c>
      <c r="J34" s="203">
        <f>A4.4.2!K34/A4.4.2!L34</f>
        <v>-3.649734707893673</v>
      </c>
      <c r="K34" s="204">
        <f>A4.4.2!J34/A4.4.2!L34</f>
        <v>4.649734707893673</v>
      </c>
      <c r="L34" s="204">
        <f t="shared" si="2"/>
        <v>1</v>
      </c>
      <c r="M34" s="203">
        <f>A4.4.2!N34/A4.4.2!O34</f>
        <v>-4.1718086481784287</v>
      </c>
      <c r="N34" s="204">
        <f>A4.4.2!M34/A4.4.2!O34</f>
        <v>5.1718086481784287</v>
      </c>
      <c r="O34" s="205">
        <f t="shared" si="3"/>
        <v>1</v>
      </c>
      <c r="Q34" s="73"/>
    </row>
    <row r="35" spans="1:17" s="33" customFormat="1" ht="13.35" customHeight="1">
      <c r="A35" s="31"/>
      <c r="B35" s="32" t="s">
        <v>78</v>
      </c>
      <c r="C35" s="32"/>
      <c r="D35" s="203">
        <f>A4.4.2!E35/A4.4.2!F35</f>
        <v>-4.228097338236104</v>
      </c>
      <c r="E35" s="204">
        <f>A4.4.2!D35/A4.4.2!F35</f>
        <v>5.228097338236104</v>
      </c>
      <c r="F35" s="204">
        <f t="shared" si="0"/>
        <v>1</v>
      </c>
      <c r="G35" s="203">
        <f>A4.4.2!H35/A4.4.2!I35</f>
        <v>-4.1489960241934609</v>
      </c>
      <c r="H35" s="204">
        <f>A4.4.2!G35/A4.4.2!I35</f>
        <v>5.1489960241934609</v>
      </c>
      <c r="I35" s="204">
        <f t="shared" si="1"/>
        <v>1</v>
      </c>
      <c r="J35" s="203">
        <f>A4.4.2!K35/A4.4.2!L35</f>
        <v>-3.9873260892737723</v>
      </c>
      <c r="K35" s="204">
        <f>A4.4.2!J35/A4.4.2!L35</f>
        <v>4.9873260892737719</v>
      </c>
      <c r="L35" s="204">
        <f t="shared" si="2"/>
        <v>0.99999999999999956</v>
      </c>
      <c r="M35" s="203">
        <f>A4.4.2!N35/A4.4.2!O35</f>
        <v>-4.0877284982378894</v>
      </c>
      <c r="N35" s="204">
        <f>A4.4.2!M35/A4.4.2!O35</f>
        <v>5.0877284982378894</v>
      </c>
      <c r="O35" s="205">
        <f t="shared" si="3"/>
        <v>1</v>
      </c>
      <c r="Q35" s="73"/>
    </row>
    <row r="36" spans="1:17" s="33" customFormat="1" ht="13.35" customHeight="1">
      <c r="A36" s="31"/>
      <c r="B36" s="32" t="s">
        <v>92</v>
      </c>
      <c r="C36" s="32"/>
      <c r="D36" s="203">
        <f>A4.4.2!E36/A4.4.2!F36</f>
        <v>-2.7467034270119597</v>
      </c>
      <c r="E36" s="204">
        <f>A4.4.2!D36/A4.4.2!F36</f>
        <v>3.7467034270119597</v>
      </c>
      <c r="F36" s="204">
        <f t="shared" si="0"/>
        <v>1</v>
      </c>
      <c r="G36" s="203">
        <f>A4.4.2!H36/A4.4.2!I36</f>
        <v>-3.0873773668805544</v>
      </c>
      <c r="H36" s="204">
        <f>A4.4.2!G36/A4.4.2!I36</f>
        <v>4.0873773668805544</v>
      </c>
      <c r="I36" s="204">
        <f t="shared" si="1"/>
        <v>1</v>
      </c>
      <c r="J36" s="203">
        <f>A4.4.2!K36/A4.4.2!L36</f>
        <v>-2.8431928977375263</v>
      </c>
      <c r="K36" s="204">
        <f>A4.4.2!J36/A4.4.2!L36</f>
        <v>3.8431928977375263</v>
      </c>
      <c r="L36" s="204">
        <f t="shared" si="2"/>
        <v>1</v>
      </c>
      <c r="M36" s="203">
        <f>A4.4.2!N36/A4.4.2!O36</f>
        <v>-2.7346092702277236</v>
      </c>
      <c r="N36" s="204">
        <f>A4.4.2!M36/A4.4.2!O36</f>
        <v>3.7346092702277236</v>
      </c>
      <c r="O36" s="205">
        <f t="shared" si="3"/>
        <v>1</v>
      </c>
      <c r="Q36" s="73"/>
    </row>
    <row r="37" spans="1:17" s="29" customFormat="1" ht="13.35" customHeight="1">
      <c r="A37" s="34"/>
      <c r="B37" s="35" t="s">
        <v>0</v>
      </c>
      <c r="C37" s="36"/>
      <c r="D37" s="206">
        <f>A4.4.2!E37/A4.4.2!F37</f>
        <v>-2.3209499846154715</v>
      </c>
      <c r="E37" s="207">
        <f>A4.4.2!D37/A4.4.2!F37</f>
        <v>3.3209499846154715</v>
      </c>
      <c r="F37" s="207">
        <f t="shared" si="0"/>
        <v>1</v>
      </c>
      <c r="G37" s="206">
        <f>A4.4.2!H37/A4.4.2!I37</f>
        <v>-2.2765681190608786</v>
      </c>
      <c r="H37" s="207">
        <f>A4.4.2!G37/A4.4.2!I37</f>
        <v>3.2765681190608782</v>
      </c>
      <c r="I37" s="207">
        <f t="shared" si="1"/>
        <v>0.99999999999999956</v>
      </c>
      <c r="J37" s="206">
        <f>A4.4.2!K37/A4.4.2!L37</f>
        <v>-2.2218869882576464</v>
      </c>
      <c r="K37" s="207">
        <f>A4.4.2!J37/A4.4.2!L37</f>
        <v>3.2218869882576464</v>
      </c>
      <c r="L37" s="207">
        <f t="shared" si="2"/>
        <v>1</v>
      </c>
      <c r="M37" s="206">
        <f>A4.4.2!N37/A4.4.2!O37</f>
        <v>-2.2673510294094155</v>
      </c>
      <c r="N37" s="207">
        <f>A4.4.2!M37/A4.4.2!O37</f>
        <v>3.2673510294094146</v>
      </c>
      <c r="O37" s="208">
        <f t="shared" si="3"/>
        <v>0.99999999999999911</v>
      </c>
    </row>
    <row r="38" spans="1:17" s="29" customFormat="1" ht="12" customHeight="1">
      <c r="B38" s="63"/>
    </row>
    <row r="39" spans="1:17" s="29" customFormat="1" ht="13.35" customHeight="1"/>
    <row r="40" spans="1:17" s="29" customFormat="1" ht="13.35" customHeight="1"/>
    <row r="41" spans="1:17" s="29" customFormat="1" ht="13.35" customHeight="1"/>
    <row r="42" spans="1:17" s="29" customFormat="1" ht="13.35" customHeight="1"/>
    <row r="43" spans="1:17" s="29" customFormat="1" ht="13.35" customHeight="1">
      <c r="M43" s="102"/>
      <c r="N43" s="102"/>
      <c r="O43" s="102"/>
    </row>
    <row r="44" spans="1:17" s="29" customFormat="1" ht="13.35" customHeight="1"/>
    <row r="45" spans="1:17" s="29" customFormat="1" ht="13.35" customHeight="1">
      <c r="B45" s="14"/>
      <c r="N45" s="105"/>
      <c r="O45" s="105"/>
    </row>
    <row r="46" spans="1:17" s="29" customFormat="1" ht="13.35" customHeight="1">
      <c r="B46" s="14"/>
      <c r="N46" s="105"/>
      <c r="O46" s="105"/>
    </row>
    <row r="47" spans="1:17" s="29" customFormat="1" ht="13.35" customHeight="1">
      <c r="B47" s="30"/>
    </row>
    <row r="48" spans="1:17" s="29" customFormat="1" ht="13.35" customHeight="1">
      <c r="B48" s="30"/>
    </row>
    <row r="49" spans="2:2" s="29" customFormat="1" ht="13.35" customHeight="1">
      <c r="B49" s="30"/>
    </row>
    <row r="50" spans="2:2" s="29" customFormat="1" ht="13.35" customHeight="1">
      <c r="B50" s="30"/>
    </row>
    <row r="51" spans="2:2" s="29" customFormat="1" ht="13.35" customHeight="1">
      <c r="B51" s="30"/>
    </row>
    <row r="52" spans="2:2" s="29" customFormat="1" ht="13.35" customHeight="1">
      <c r="B52" s="30"/>
    </row>
    <row r="53" spans="2:2" s="29" customFormat="1" ht="13.35" customHeight="1">
      <c r="B53" s="30"/>
    </row>
    <row r="54" spans="2:2" s="29" customFormat="1" ht="13.35" customHeight="1">
      <c r="B54" s="30"/>
    </row>
    <row r="55" spans="2:2" s="29" customFormat="1" ht="13.35" customHeight="1">
      <c r="B55" s="30"/>
    </row>
    <row r="56" spans="2:2" s="29" customFormat="1" ht="13.35" customHeight="1">
      <c r="B56" s="30"/>
    </row>
    <row r="57" spans="2:2" s="29" customFormat="1" ht="13.35" customHeight="1">
      <c r="B57" s="30"/>
    </row>
    <row r="58" spans="2:2" s="29" customFormat="1" ht="13.35" customHeight="1">
      <c r="B58" s="30"/>
    </row>
    <row r="59" spans="2:2" s="29" customFormat="1" ht="13.35" customHeight="1">
      <c r="B59" s="30"/>
    </row>
    <row r="60" spans="2:2" s="29" customFormat="1" ht="13.35" customHeight="1">
      <c r="B60" s="30"/>
    </row>
    <row r="61" spans="2:2" s="29" customFormat="1" ht="13.35" customHeight="1">
      <c r="B61" s="30"/>
    </row>
    <row r="62" spans="2:2" s="29" customFormat="1" ht="13.35" customHeight="1">
      <c r="B62" s="32"/>
    </row>
    <row r="63" spans="2:2" s="29" customFormat="1" ht="13.35" customHeight="1">
      <c r="B63" s="32"/>
    </row>
    <row r="64" spans="2:2" s="29" customFormat="1" ht="13.35" customHeight="1">
      <c r="B64" s="32"/>
    </row>
    <row r="65" spans="2:15" s="29" customFormat="1" ht="13.35" customHeight="1">
      <c r="B65" s="32"/>
      <c r="M65" s="102"/>
      <c r="N65" s="102"/>
      <c r="O65" s="102"/>
    </row>
    <row r="66" spans="2:15" s="29" customFormat="1" ht="13.35" customHeight="1"/>
    <row r="67" spans="2:15" s="29" customFormat="1" ht="13.35" customHeight="1"/>
    <row r="68" spans="2:15" s="29" customFormat="1" ht="13.35" customHeight="1"/>
    <row r="69" spans="2:15" s="29" customFormat="1" ht="13.35" customHeight="1"/>
    <row r="70" spans="2:15" s="29" customFormat="1" ht="13.35" customHeight="1"/>
    <row r="71" spans="2:15" s="29" customFormat="1" ht="13.35" customHeight="1">
      <c r="M71" s="102"/>
      <c r="N71" s="102"/>
      <c r="O71" s="102"/>
    </row>
    <row r="72" spans="2:15" s="29" customFormat="1" ht="13.35" customHeight="1">
      <c r="M72" s="102"/>
      <c r="N72" s="102"/>
      <c r="O72" s="102"/>
    </row>
    <row r="73" spans="2:15" s="29" customFormat="1" ht="13.35" customHeight="1">
      <c r="M73" s="102"/>
      <c r="N73" s="102"/>
      <c r="O73" s="102"/>
    </row>
    <row r="74" spans="2:15" s="29" customFormat="1" ht="13.35" customHeight="1">
      <c r="M74" s="102"/>
      <c r="N74" s="102"/>
      <c r="O74" s="102"/>
    </row>
    <row r="75" spans="2:15" s="29" customFormat="1" ht="13.35" customHeight="1">
      <c r="M75" s="102"/>
      <c r="N75" s="102"/>
      <c r="O75" s="102"/>
    </row>
    <row r="76" spans="2:15" s="29" customFormat="1" ht="13.35" customHeight="1">
      <c r="M76" s="102"/>
      <c r="N76" s="102"/>
      <c r="O76" s="102"/>
    </row>
    <row r="77" spans="2:15" s="29" customFormat="1" ht="13.35" customHeight="1">
      <c r="M77" s="102"/>
      <c r="N77" s="102"/>
      <c r="O77" s="102"/>
    </row>
    <row r="78" spans="2:15" s="29" customFormat="1" ht="13.35" customHeight="1">
      <c r="M78" s="102"/>
      <c r="N78" s="102"/>
      <c r="O78" s="102"/>
    </row>
    <row r="79" spans="2:15" s="29" customFormat="1" ht="13.35" customHeight="1">
      <c r="M79" s="102"/>
      <c r="N79" s="102"/>
      <c r="O79" s="102"/>
    </row>
    <row r="80" spans="2:15" s="29" customFormat="1" ht="13.35" customHeight="1">
      <c r="M80" s="102"/>
      <c r="N80" s="102"/>
      <c r="O80" s="102"/>
    </row>
    <row r="81" spans="13:15" s="29" customFormat="1" ht="13.35" customHeight="1">
      <c r="M81" s="102"/>
      <c r="N81" s="102"/>
      <c r="O81" s="102"/>
    </row>
    <row r="82" spans="13:15" s="29" customFormat="1" ht="13.35" customHeight="1">
      <c r="M82" s="102"/>
      <c r="N82" s="102"/>
      <c r="O82" s="102"/>
    </row>
    <row r="83" spans="13:15" s="29" customFormat="1" ht="13.35" customHeight="1">
      <c r="M83" s="102"/>
      <c r="N83" s="102"/>
      <c r="O83" s="102"/>
    </row>
    <row r="84" spans="13:15" s="29" customFormat="1" ht="13.35" customHeight="1">
      <c r="M84" s="102"/>
      <c r="N84" s="102"/>
      <c r="O84" s="102"/>
    </row>
    <row r="85" spans="13:15" s="29" customFormat="1" ht="13.35" customHeight="1">
      <c r="M85" s="102"/>
      <c r="N85" s="102"/>
      <c r="O85" s="102"/>
    </row>
    <row r="86" spans="13:15" s="29" customFormat="1" ht="13.35" customHeight="1">
      <c r="M86" s="102"/>
      <c r="N86" s="102"/>
      <c r="O86" s="102"/>
    </row>
    <row r="87" spans="13:15" s="29" customFormat="1" ht="13.35" customHeight="1">
      <c r="M87" s="102"/>
      <c r="N87" s="102"/>
      <c r="O87" s="102"/>
    </row>
    <row r="88" spans="13:15" s="29" customFormat="1" ht="13.35" customHeight="1">
      <c r="M88" s="102"/>
      <c r="N88" s="102"/>
      <c r="O88" s="102"/>
    </row>
    <row r="89" spans="13:15" s="29" customFormat="1" ht="13.35" customHeight="1">
      <c r="M89" s="102"/>
      <c r="N89" s="102"/>
      <c r="O89" s="102"/>
    </row>
    <row r="90" spans="13:15" s="29" customFormat="1" ht="13.35" customHeight="1">
      <c r="M90" s="102"/>
      <c r="N90" s="102"/>
      <c r="O90" s="102"/>
    </row>
    <row r="91" spans="13:15" s="29" customFormat="1" ht="13.35" customHeight="1">
      <c r="M91" s="102"/>
      <c r="N91" s="102"/>
      <c r="O91" s="102"/>
    </row>
    <row r="92" spans="13:15" s="29" customFormat="1" ht="13.35" customHeight="1">
      <c r="M92" s="102"/>
      <c r="N92" s="102"/>
      <c r="O92" s="102"/>
    </row>
    <row r="93" spans="13:15" s="29" customFormat="1" ht="13.35" customHeight="1">
      <c r="M93" s="102"/>
      <c r="N93" s="102"/>
      <c r="O93" s="102"/>
    </row>
    <row r="94" spans="13:15" s="29" customFormat="1" ht="13.35" customHeight="1">
      <c r="M94" s="102"/>
      <c r="N94" s="102"/>
      <c r="O94" s="102"/>
    </row>
    <row r="95" spans="13:15" s="29" customFormat="1" ht="13.35" customHeight="1">
      <c r="M95" s="102"/>
      <c r="N95" s="102"/>
      <c r="O95" s="102"/>
    </row>
    <row r="96" spans="13:15" s="29" customFormat="1" ht="13.35" customHeight="1">
      <c r="M96" s="102"/>
      <c r="N96" s="102"/>
      <c r="O96" s="102"/>
    </row>
    <row r="97" spans="13:15" s="29" customFormat="1" ht="13.35" customHeight="1">
      <c r="M97" s="102"/>
      <c r="N97" s="102"/>
      <c r="O97" s="102"/>
    </row>
    <row r="98" spans="13:15" s="29" customFormat="1" ht="13.35" customHeight="1">
      <c r="M98" s="102"/>
      <c r="N98" s="102"/>
      <c r="O98" s="102"/>
    </row>
    <row r="99" spans="13:15" s="29" customFormat="1" ht="13.35" customHeight="1">
      <c r="M99" s="102"/>
      <c r="N99" s="102"/>
      <c r="O99" s="102"/>
    </row>
    <row r="100" spans="13:15" s="29" customFormat="1" ht="13.35" customHeight="1">
      <c r="M100" s="102"/>
      <c r="N100" s="102"/>
      <c r="O100" s="102"/>
    </row>
    <row r="101" spans="13:15" s="29" customFormat="1" ht="13.35" customHeight="1">
      <c r="M101" s="102"/>
      <c r="N101" s="102"/>
      <c r="O101" s="102"/>
    </row>
    <row r="102" spans="13:15" s="29" customFormat="1" ht="13.35" customHeight="1">
      <c r="N102" s="102"/>
      <c r="O102" s="102"/>
    </row>
    <row r="103" spans="13:15" s="29" customFormat="1" ht="13.35" customHeight="1"/>
    <row r="104" spans="13:15" s="29" customFormat="1" ht="13.35" customHeight="1">
      <c r="N104" s="101"/>
      <c r="O104" s="101"/>
    </row>
    <row r="105" spans="13:15" s="29" customFormat="1" ht="13.35" customHeight="1"/>
    <row r="106" spans="13:15" s="29" customFormat="1" ht="13.35" customHeight="1"/>
    <row r="107" spans="13:15" s="29" customFormat="1" ht="13.35" customHeight="1"/>
    <row r="108" spans="13:15" s="29" customFormat="1" ht="13.35" customHeight="1"/>
    <row r="109" spans="13:15" s="29" customFormat="1" ht="13.35" customHeight="1"/>
    <row r="110" spans="13:15" s="29" customFormat="1" ht="13.35" customHeight="1"/>
    <row r="111" spans="13:15" s="29" customFormat="1" ht="13.35" customHeight="1"/>
    <row r="112" spans="13:15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pans="2:8" s="29" customFormat="1" ht="13.35" customHeight="1"/>
    <row r="3266" spans="2:8" s="29" customFormat="1" ht="13.35" customHeight="1"/>
    <row r="3267" spans="2:8" s="29" customFormat="1" ht="13.35" customHeight="1"/>
    <row r="3268" spans="2:8" s="29" customFormat="1" ht="13.35" customHeight="1"/>
    <row r="3269" spans="2:8" s="29" customFormat="1" ht="13.35" customHeight="1"/>
    <row r="3270" spans="2:8" s="29" customFormat="1" ht="13.35" customHeight="1"/>
    <row r="3271" spans="2:8" s="29" customFormat="1" ht="13.35" customHeight="1"/>
    <row r="3272" spans="2:8" s="29" customFormat="1" ht="13.35" customHeight="1"/>
    <row r="3273" spans="2:8" s="29" customFormat="1" ht="13.35" customHeight="1"/>
    <row r="3274" spans="2:8" s="29" customFormat="1" ht="13.35" customHeight="1"/>
    <row r="3275" spans="2:8" s="29" customFormat="1" ht="13.35" customHeight="1"/>
    <row r="3276" spans="2:8" s="29" customFormat="1" ht="13.35" customHeight="1"/>
    <row r="3277" spans="2:8">
      <c r="B3277" s="29"/>
      <c r="C3277" s="29"/>
      <c r="D3277" s="29"/>
      <c r="E3277" s="29"/>
      <c r="F3277" s="29"/>
      <c r="G3277" s="29"/>
      <c r="H3277" s="29"/>
    </row>
  </sheetData>
  <mergeCells count="1">
    <mergeCell ref="B3:C3"/>
  </mergeCells>
  <pageMargins left="0.98425196850393704" right="0.98425196850393704" top="1.1811023622047245" bottom="1.1811023622047245" header="0.51181102362204722" footer="0.39370078740157483"/>
  <pageSetup paperSize="9" scale="77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I3277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5703125" style="44" customWidth="1"/>
    <col min="7" max="8" width="9.5703125" style="45" customWidth="1"/>
    <col min="9" max="15" width="9.5703125" style="7" customWidth="1"/>
    <col min="16" max="17" width="9.140625" style="7"/>
    <col min="18" max="18" width="14.5703125" style="7" bestFit="1" customWidth="1"/>
    <col min="19" max="19" width="10.7109375" style="7" bestFit="1" customWidth="1"/>
    <col min="20" max="23" width="9.140625" style="7"/>
    <col min="24" max="28" width="9.140625" style="11"/>
    <col min="29" max="29" width="10" style="11" bestFit="1" customWidth="1"/>
    <col min="30" max="35" width="9.140625" style="11"/>
    <col min="36" max="16384" width="9.140625" style="12"/>
  </cols>
  <sheetData>
    <row r="1" spans="1:35" s="6" customFormat="1" ht="15" customHeight="1">
      <c r="A1" s="1" t="s">
        <v>168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59.25" customHeight="1">
      <c r="A3" s="59"/>
      <c r="B3" s="241" t="s">
        <v>171</v>
      </c>
      <c r="C3" s="237"/>
      <c r="D3" s="60" t="s">
        <v>154</v>
      </c>
      <c r="E3" s="61" t="s">
        <v>155</v>
      </c>
      <c r="F3" s="61" t="s">
        <v>162</v>
      </c>
      <c r="G3" s="60" t="s">
        <v>154</v>
      </c>
      <c r="H3" s="61" t="s">
        <v>155</v>
      </c>
      <c r="I3" s="61" t="s">
        <v>162</v>
      </c>
      <c r="J3" s="60" t="s">
        <v>154</v>
      </c>
      <c r="K3" s="61" t="s">
        <v>155</v>
      </c>
      <c r="L3" s="61" t="s">
        <v>162</v>
      </c>
      <c r="M3" s="60" t="s">
        <v>154</v>
      </c>
      <c r="N3" s="61" t="s">
        <v>155</v>
      </c>
      <c r="O3" s="62" t="s">
        <v>162</v>
      </c>
      <c r="R3" s="8"/>
      <c r="S3" s="9"/>
      <c r="T3" s="9"/>
      <c r="U3" s="9"/>
      <c r="V3" s="9"/>
      <c r="W3" s="9"/>
      <c r="X3" s="9"/>
      <c r="Y3" s="9"/>
      <c r="Z3" s="9"/>
      <c r="AA3" s="9"/>
      <c r="AB3" s="10"/>
      <c r="AC3" s="10"/>
    </row>
    <row r="4" spans="1:35" ht="13.35" customHeight="1">
      <c r="A4" s="13"/>
      <c r="B4" s="14" t="s">
        <v>61</v>
      </c>
      <c r="C4" s="14"/>
      <c r="D4" s="203">
        <f>-A4.4.3!E4/A4.4.3!F4</f>
        <v>-2.1787637289913051</v>
      </c>
      <c r="E4" s="204">
        <f>-A4.4.3!D4/A4.4.3!F4</f>
        <v>1.1787637289913049</v>
      </c>
      <c r="F4" s="204">
        <f t="shared" ref="F4:F37" si="0">D4+E4</f>
        <v>-1.0000000000000002</v>
      </c>
      <c r="G4" s="203">
        <f>-A4.4.3!H4/A4.4.3!I4</f>
        <v>-1.9613807410920776</v>
      </c>
      <c r="H4" s="204">
        <f>-A4.4.3!G4/A4.4.3!I4</f>
        <v>0.96138074109207772</v>
      </c>
      <c r="I4" s="204">
        <f t="shared" ref="I4:I37" si="1">G4+H4</f>
        <v>-0.99999999999999989</v>
      </c>
      <c r="J4" s="203">
        <f>-A4.4.3!K4/A4.4.3!L4</f>
        <v>-2.0258418567379981</v>
      </c>
      <c r="K4" s="204">
        <f>-A4.4.3!J4/A4.4.3!L4</f>
        <v>1.0258418567379981</v>
      </c>
      <c r="L4" s="204">
        <f t="shared" ref="L4:L37" si="2">J4+K4</f>
        <v>-1</v>
      </c>
      <c r="M4" s="203">
        <f>-A4.4.3!N4/A4.4.3!O4</f>
        <v>-2.0100998985316099</v>
      </c>
      <c r="N4" s="204">
        <f>-A4.4.3!M4/A4.4.3!O4</f>
        <v>1.0100998985316099</v>
      </c>
      <c r="O4" s="205">
        <f t="shared" ref="O4:O37" si="3">M4+N4</f>
        <v>-1</v>
      </c>
      <c r="Q4" s="73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20"/>
      <c r="AD4" s="20"/>
    </row>
    <row r="5" spans="1:35" ht="13.35" customHeight="1">
      <c r="A5" s="13"/>
      <c r="B5" s="14" t="s">
        <v>62</v>
      </c>
      <c r="C5" s="21"/>
      <c r="D5" s="203">
        <f>-A4.4.3!E5/A4.4.3!F5</f>
        <v>-2.1285787530715088</v>
      </c>
      <c r="E5" s="204">
        <f>-A4.4.3!D5/A4.4.3!F5</f>
        <v>1.1285787530715086</v>
      </c>
      <c r="F5" s="204">
        <f t="shared" si="0"/>
        <v>-1.0000000000000002</v>
      </c>
      <c r="G5" s="203">
        <f>-A4.4.3!H5/A4.4.3!I5</f>
        <v>-2.2156808332941211</v>
      </c>
      <c r="H5" s="204">
        <f>-A4.4.3!G5/A4.4.3!I5</f>
        <v>1.2156808332941214</v>
      </c>
      <c r="I5" s="204">
        <f t="shared" si="1"/>
        <v>-0.99999999999999978</v>
      </c>
      <c r="J5" s="203">
        <f>-A4.4.3!K5/A4.4.3!L5</f>
        <v>-2.0729734737785344</v>
      </c>
      <c r="K5" s="204">
        <f>-A4.4.3!J5/A4.4.3!L5</f>
        <v>1.0729734737785344</v>
      </c>
      <c r="L5" s="204">
        <f t="shared" si="2"/>
        <v>-1</v>
      </c>
      <c r="M5" s="203">
        <f>-A4.4.3!N5/A4.4.3!O5</f>
        <v>-2.3429521645471936</v>
      </c>
      <c r="N5" s="204">
        <f>-A4.4.3!M5/A4.4.3!O5</f>
        <v>1.3429521645471933</v>
      </c>
      <c r="O5" s="205">
        <f t="shared" si="3"/>
        <v>-1.0000000000000002</v>
      </c>
      <c r="Q5" s="73"/>
      <c r="R5" s="22"/>
      <c r="S5" s="23"/>
      <c r="T5" s="24"/>
      <c r="U5" s="24"/>
      <c r="V5" s="24"/>
      <c r="W5" s="24"/>
      <c r="X5" s="24"/>
      <c r="Y5" s="24"/>
      <c r="Z5" s="24"/>
      <c r="AA5" s="24"/>
      <c r="AB5" s="25"/>
      <c r="AC5" s="26"/>
      <c r="AD5" s="26"/>
    </row>
    <row r="6" spans="1:35" ht="13.35" customHeight="1">
      <c r="A6" s="13"/>
      <c r="B6" s="14" t="s">
        <v>82</v>
      </c>
      <c r="C6" s="14"/>
      <c r="D6" s="203">
        <f>-A4.4.3!E6/A4.4.3!F6</f>
        <v>-1.8119055310552483</v>
      </c>
      <c r="E6" s="204">
        <f>-A4.4.3!D6/A4.4.3!F6</f>
        <v>0.81190553105524832</v>
      </c>
      <c r="F6" s="204">
        <f t="shared" si="0"/>
        <v>-1</v>
      </c>
      <c r="G6" s="203">
        <f>-A4.4.3!H6/A4.4.3!I6</f>
        <v>-1.820147331070354</v>
      </c>
      <c r="H6" s="204">
        <f>-A4.4.3!G6/A4.4.3!I6</f>
        <v>0.82014733107035398</v>
      </c>
      <c r="I6" s="204">
        <f t="shared" si="1"/>
        <v>-1</v>
      </c>
      <c r="J6" s="203">
        <f>-A4.4.3!K6/A4.4.3!L6</f>
        <v>-2.1830829655606792</v>
      </c>
      <c r="K6" s="204">
        <f>-A4.4.3!J6/A4.4.3!L6</f>
        <v>1.1830829655606789</v>
      </c>
      <c r="L6" s="204">
        <f t="shared" si="2"/>
        <v>-1.0000000000000002</v>
      </c>
      <c r="M6" s="203">
        <f>-A4.4.3!N6/A4.4.3!O6</f>
        <v>-1.9111938120288257</v>
      </c>
      <c r="N6" s="204">
        <f>-A4.4.3!M6/A4.4.3!O6</f>
        <v>0.91119381202882577</v>
      </c>
      <c r="O6" s="205">
        <f t="shared" si="3"/>
        <v>-0.99999999999999989</v>
      </c>
      <c r="Q6" s="73"/>
      <c r="R6" s="22"/>
      <c r="S6" s="23"/>
      <c r="T6" s="24"/>
      <c r="U6" s="24"/>
      <c r="V6" s="24"/>
      <c r="W6" s="24"/>
      <c r="X6" s="24"/>
      <c r="Y6" s="24"/>
      <c r="Z6" s="24"/>
      <c r="AA6" s="24"/>
      <c r="AB6" s="25"/>
      <c r="AC6" s="26"/>
      <c r="AD6" s="26"/>
    </row>
    <row r="7" spans="1:35" ht="13.35" customHeight="1">
      <c r="A7" s="13"/>
      <c r="B7" s="14" t="s">
        <v>63</v>
      </c>
      <c r="C7" s="14"/>
      <c r="D7" s="203">
        <f>-A4.4.3!E7/A4.4.3!F7</f>
        <v>-1.8563948768144412</v>
      </c>
      <c r="E7" s="204">
        <f>-A4.4.3!D7/A4.4.3!F7</f>
        <v>0.85639487681444115</v>
      </c>
      <c r="F7" s="204">
        <f t="shared" si="0"/>
        <v>-1</v>
      </c>
      <c r="G7" s="203">
        <f>-A4.4.3!H7/A4.4.3!I7</f>
        <v>-1.881474349601771</v>
      </c>
      <c r="H7" s="204">
        <f>-A4.4.3!G7/A4.4.3!I7</f>
        <v>0.88147434960177096</v>
      </c>
      <c r="I7" s="204">
        <f t="shared" si="1"/>
        <v>-1</v>
      </c>
      <c r="J7" s="203">
        <f>-A4.4.3!K7/A4.4.3!L7</f>
        <v>-1.9458810374856295</v>
      </c>
      <c r="K7" s="204">
        <f>-A4.4.3!J7/A4.4.3!L7</f>
        <v>0.94588103748562935</v>
      </c>
      <c r="L7" s="204">
        <f t="shared" si="2"/>
        <v>-1</v>
      </c>
      <c r="M7" s="203">
        <f>-A4.4.3!N7/A4.4.3!O7</f>
        <v>-2.0814748705911015</v>
      </c>
      <c r="N7" s="204">
        <f>-A4.4.3!M7/A4.4.3!O7</f>
        <v>1.0814748705911013</v>
      </c>
      <c r="O7" s="205">
        <f t="shared" si="3"/>
        <v>-1.0000000000000002</v>
      </c>
      <c r="Q7" s="73"/>
      <c r="R7" s="22"/>
      <c r="S7" s="23"/>
      <c r="T7" s="24"/>
      <c r="U7" s="24"/>
      <c r="V7" s="24"/>
      <c r="W7" s="24"/>
      <c r="X7" s="24"/>
      <c r="Y7" s="24"/>
      <c r="Z7" s="24"/>
      <c r="AA7" s="24"/>
      <c r="AB7" s="25"/>
      <c r="AC7" s="26"/>
      <c r="AD7" s="26"/>
    </row>
    <row r="8" spans="1:35" ht="13.35" customHeight="1">
      <c r="A8" s="13"/>
      <c r="B8" s="14" t="s">
        <v>83</v>
      </c>
      <c r="C8" s="14"/>
      <c r="D8" s="203">
        <f>-A4.4.3!E8/A4.4.3!F8</f>
        <v>-4.1795672686878005</v>
      </c>
      <c r="E8" s="204">
        <f>-A4.4.3!D8/A4.4.3!F8</f>
        <v>3.1795672686878005</v>
      </c>
      <c r="F8" s="204">
        <f t="shared" si="0"/>
        <v>-1</v>
      </c>
      <c r="G8" s="203">
        <f>-A4.4.3!H8/A4.4.3!I8</f>
        <v>-3.6313619936894881</v>
      </c>
      <c r="H8" s="204">
        <f>-A4.4.3!G8/A4.4.3!I8</f>
        <v>2.6313619936894881</v>
      </c>
      <c r="I8" s="204">
        <f t="shared" si="1"/>
        <v>-1</v>
      </c>
      <c r="J8" s="203">
        <f>-A4.4.3!K8/A4.4.3!L8</f>
        <v>-3.8758022948192457</v>
      </c>
      <c r="K8" s="204">
        <f>-A4.4.3!J8/A4.4.3!L8</f>
        <v>2.8758022948192457</v>
      </c>
      <c r="L8" s="204">
        <f t="shared" si="2"/>
        <v>-1</v>
      </c>
      <c r="M8" s="203">
        <f>-A4.4.3!N8/A4.4.3!O8</f>
        <v>-3.5850954383448941</v>
      </c>
      <c r="N8" s="204">
        <f>-A4.4.3!M8/A4.4.3!O8</f>
        <v>2.5850954383448941</v>
      </c>
      <c r="O8" s="205">
        <f t="shared" si="3"/>
        <v>-1</v>
      </c>
      <c r="Q8" s="73"/>
    </row>
    <row r="9" spans="1:35" ht="13.35" customHeight="1">
      <c r="A9" s="13"/>
      <c r="B9" s="14" t="s">
        <v>64</v>
      </c>
      <c r="C9" s="14"/>
      <c r="D9" s="203">
        <f>-A4.4.3!E9/A4.4.3!F9</f>
        <v>-3.5112040997312666</v>
      </c>
      <c r="E9" s="204">
        <f>-A4.4.3!D9/A4.4.3!F9</f>
        <v>2.5112040997312666</v>
      </c>
      <c r="F9" s="204">
        <f t="shared" si="0"/>
        <v>-1</v>
      </c>
      <c r="G9" s="203">
        <f>-A4.4.3!H9/A4.4.3!I9</f>
        <v>-4.2031380610494979</v>
      </c>
      <c r="H9" s="204">
        <f>-A4.4.3!G9/A4.4.3!I9</f>
        <v>3.2031380610494984</v>
      </c>
      <c r="I9" s="204">
        <f t="shared" si="1"/>
        <v>-0.99999999999999956</v>
      </c>
      <c r="J9" s="203">
        <f>-A4.4.3!K9/A4.4.3!L9</f>
        <v>-4.5116807250505957</v>
      </c>
      <c r="K9" s="204">
        <f>-A4.4.3!J9/A4.4.3!L9</f>
        <v>3.5116807250505957</v>
      </c>
      <c r="L9" s="204">
        <f t="shared" si="2"/>
        <v>-1</v>
      </c>
      <c r="M9" s="203">
        <f>-A4.4.3!N9/A4.4.3!O9</f>
        <v>-4.3084763772511128</v>
      </c>
      <c r="N9" s="204">
        <f>-A4.4.3!M9/A4.4.3!O9</f>
        <v>3.3084763772511132</v>
      </c>
      <c r="O9" s="205">
        <f t="shared" si="3"/>
        <v>-0.99999999999999956</v>
      </c>
      <c r="Q9" s="73"/>
    </row>
    <row r="10" spans="1:35" ht="13.35" customHeight="1">
      <c r="A10" s="13"/>
      <c r="B10" s="14" t="s">
        <v>84</v>
      </c>
      <c r="C10" s="14"/>
      <c r="D10" s="203">
        <f>-A4.4.3!E10/A4.4.3!F10</f>
        <v>-1.746589704524655</v>
      </c>
      <c r="E10" s="204">
        <f>-A4.4.3!D10/A4.4.3!F10</f>
        <v>0.74658970452465512</v>
      </c>
      <c r="F10" s="204">
        <f t="shared" si="0"/>
        <v>-0.99999999999999989</v>
      </c>
      <c r="G10" s="203">
        <f>-A4.4.3!H10/A4.4.3!I10</f>
        <v>-1.8628503308930831</v>
      </c>
      <c r="H10" s="204">
        <f>-A4.4.3!G10/A4.4.3!I10</f>
        <v>0.86285033089308327</v>
      </c>
      <c r="I10" s="204">
        <f t="shared" si="1"/>
        <v>-0.99999999999999978</v>
      </c>
      <c r="J10" s="203">
        <f>-A4.4.3!K10/A4.4.3!L10</f>
        <v>-1.7683752391412633</v>
      </c>
      <c r="K10" s="204">
        <f>-A4.4.3!J10/A4.4.3!L10</f>
        <v>0.76837523914126316</v>
      </c>
      <c r="L10" s="204">
        <f t="shared" si="2"/>
        <v>-1</v>
      </c>
      <c r="M10" s="203">
        <f>-A4.4.3!N10/A4.4.3!O10</f>
        <v>-1.7482033233413217</v>
      </c>
      <c r="N10" s="204">
        <f>-A4.4.3!M10/A4.4.3!O10</f>
        <v>0.74820332334132178</v>
      </c>
      <c r="O10" s="205">
        <f t="shared" si="3"/>
        <v>-0.99999999999999989</v>
      </c>
      <c r="Q10" s="73"/>
    </row>
    <row r="11" spans="1:35" s="29" customFormat="1" ht="13.35" customHeight="1">
      <c r="A11" s="27"/>
      <c r="B11" s="28" t="s">
        <v>1</v>
      </c>
      <c r="C11" s="28"/>
      <c r="D11" s="203">
        <f>-A4.4.3!E11/A4.4.3!F11</f>
        <v>-2.0625878703573162</v>
      </c>
      <c r="E11" s="204">
        <f>-A4.4.3!D11/A4.4.3!F11</f>
        <v>1.0625878703573162</v>
      </c>
      <c r="F11" s="204">
        <f t="shared" si="0"/>
        <v>-1</v>
      </c>
      <c r="G11" s="203">
        <f>-A4.4.3!H11/A4.4.3!I11</f>
        <v>-2.2044713654377093</v>
      </c>
      <c r="H11" s="204">
        <f>-A4.4.3!G11/A4.4.3!I11</f>
        <v>1.2044713654377093</v>
      </c>
      <c r="I11" s="204">
        <f t="shared" si="1"/>
        <v>-1</v>
      </c>
      <c r="J11" s="203">
        <f>-A4.4.3!K11/A4.4.3!L11</f>
        <v>-2.2183242535330407</v>
      </c>
      <c r="K11" s="204">
        <f>-A4.4.3!J11/A4.4.3!L11</f>
        <v>1.2183242535330407</v>
      </c>
      <c r="L11" s="204">
        <f t="shared" si="2"/>
        <v>-1</v>
      </c>
      <c r="M11" s="203">
        <f>-A4.4.3!N11/A4.4.3!O11</f>
        <v>-2.3666630834315723</v>
      </c>
      <c r="N11" s="204">
        <f>-A4.4.3!M11/A4.4.3!O11</f>
        <v>1.3666630834315725</v>
      </c>
      <c r="O11" s="205">
        <f t="shared" si="3"/>
        <v>-0.99999999999999978</v>
      </c>
      <c r="Q11" s="73"/>
    </row>
    <row r="12" spans="1:35" s="29" customFormat="1" ht="13.35" customHeight="1">
      <c r="A12" s="27"/>
      <c r="B12" s="28" t="s">
        <v>65</v>
      </c>
      <c r="C12" s="28"/>
      <c r="D12" s="203">
        <f>-A4.4.3!E12/A4.4.3!F12</f>
        <v>-1.7888487948600393</v>
      </c>
      <c r="E12" s="204">
        <f>-A4.4.3!D12/A4.4.3!F12</f>
        <v>0.78884879486003934</v>
      </c>
      <c r="F12" s="204">
        <f t="shared" si="0"/>
        <v>-1</v>
      </c>
      <c r="G12" s="203">
        <f>-A4.4.3!H12/A4.4.3!I12</f>
        <v>-1.7418753438148959</v>
      </c>
      <c r="H12" s="204">
        <f>-A4.4.3!G12/A4.4.3!I12</f>
        <v>0.74187534381489595</v>
      </c>
      <c r="I12" s="204">
        <f t="shared" si="1"/>
        <v>-1</v>
      </c>
      <c r="J12" s="203">
        <f>-A4.4.3!K12/A4.4.3!L12</f>
        <v>-1.63798141601462</v>
      </c>
      <c r="K12" s="204">
        <f>-A4.4.3!J12/A4.4.3!L12</f>
        <v>0.63798141601462011</v>
      </c>
      <c r="L12" s="204">
        <f t="shared" si="2"/>
        <v>-0.99999999999999989</v>
      </c>
      <c r="M12" s="203">
        <f>-A4.4.3!N12/A4.4.3!O12</f>
        <v>-1.5020342053929072</v>
      </c>
      <c r="N12" s="204">
        <f>-A4.4.3!M12/A4.4.3!O12</f>
        <v>0.50203420539290733</v>
      </c>
      <c r="O12" s="205">
        <f t="shared" si="3"/>
        <v>-0.99999999999999989</v>
      </c>
      <c r="Q12" s="73"/>
    </row>
    <row r="13" spans="1:35" s="29" customFormat="1" ht="13.35" customHeight="1">
      <c r="A13" s="27"/>
      <c r="B13" s="30" t="s">
        <v>85</v>
      </c>
      <c r="C13" s="30"/>
      <c r="D13" s="203">
        <f>-A4.4.3!E13/A4.4.3!F13</f>
        <v>-2.750542690411593</v>
      </c>
      <c r="E13" s="204">
        <f>-A4.4.3!D13/A4.4.3!F13</f>
        <v>1.750542690411593</v>
      </c>
      <c r="F13" s="204">
        <f t="shared" si="0"/>
        <v>-1</v>
      </c>
      <c r="G13" s="203">
        <f>-A4.4.3!H13/A4.4.3!I13</f>
        <v>-3.0865878237756017</v>
      </c>
      <c r="H13" s="204">
        <f>-A4.4.3!G13/A4.4.3!I13</f>
        <v>2.0865878237756017</v>
      </c>
      <c r="I13" s="204">
        <f t="shared" si="1"/>
        <v>-1</v>
      </c>
      <c r="J13" s="203">
        <f>-A4.4.3!K13/A4.4.3!L13</f>
        <v>-2.4942828782987592</v>
      </c>
      <c r="K13" s="204">
        <f>-A4.4.3!J13/A4.4.3!L13</f>
        <v>1.4942828782987594</v>
      </c>
      <c r="L13" s="204">
        <f t="shared" si="2"/>
        <v>-0.99999999999999978</v>
      </c>
      <c r="M13" s="203">
        <f>-A4.4.3!N13/A4.4.3!O13</f>
        <v>-3.539924238743358</v>
      </c>
      <c r="N13" s="204">
        <f>-A4.4.3!M13/A4.4.3!O13</f>
        <v>2.539924238743358</v>
      </c>
      <c r="O13" s="205">
        <f t="shared" si="3"/>
        <v>-1</v>
      </c>
      <c r="Q13" s="73"/>
    </row>
    <row r="14" spans="1:35" s="29" customFormat="1" ht="13.35" customHeight="1">
      <c r="A14" s="27"/>
      <c r="B14" s="30" t="s">
        <v>86</v>
      </c>
      <c r="C14" s="30"/>
      <c r="D14" s="203">
        <f>-A4.4.3!E14/A4.4.3!F14</f>
        <v>-2.2972938730621655</v>
      </c>
      <c r="E14" s="204">
        <f>-A4.4.3!D14/A4.4.3!F14</f>
        <v>1.2972938730621655</v>
      </c>
      <c r="F14" s="204">
        <f t="shared" si="0"/>
        <v>-1</v>
      </c>
      <c r="G14" s="203">
        <f>-A4.4.3!H14/A4.4.3!I14</f>
        <v>-2.4362953936665117</v>
      </c>
      <c r="H14" s="204">
        <f>-A4.4.3!G14/A4.4.3!I14</f>
        <v>1.4362953936665119</v>
      </c>
      <c r="I14" s="204">
        <f t="shared" si="1"/>
        <v>-0.99999999999999978</v>
      </c>
      <c r="J14" s="203">
        <f>-A4.4.3!K14/A4.4.3!L14</f>
        <v>-2.5932186983605074</v>
      </c>
      <c r="K14" s="204">
        <f>-A4.4.3!J14/A4.4.3!L14</f>
        <v>1.5932186983605077</v>
      </c>
      <c r="L14" s="204">
        <f t="shared" si="2"/>
        <v>-0.99999999999999978</v>
      </c>
      <c r="M14" s="203">
        <f>-A4.4.3!N14/A4.4.3!O14</f>
        <v>-2.6471724726043537</v>
      </c>
      <c r="N14" s="204">
        <f>-A4.4.3!M14/A4.4.3!O14</f>
        <v>1.647172472604354</v>
      </c>
      <c r="O14" s="205">
        <f t="shared" si="3"/>
        <v>-0.99999999999999978</v>
      </c>
      <c r="Q14" s="73"/>
    </row>
    <row r="15" spans="1:35" s="29" customFormat="1" ht="13.35" customHeight="1">
      <c r="A15" s="27"/>
      <c r="B15" s="30" t="s">
        <v>66</v>
      </c>
      <c r="C15" s="30"/>
      <c r="D15" s="203">
        <f>-A4.4.3!E15/A4.4.3!F15</f>
        <v>-2.954827916566483</v>
      </c>
      <c r="E15" s="204">
        <f>-A4.4.3!D15/A4.4.3!F15</f>
        <v>1.954827916566483</v>
      </c>
      <c r="F15" s="204">
        <f t="shared" si="0"/>
        <v>-1</v>
      </c>
      <c r="G15" s="203">
        <f>-A4.4.3!H15/A4.4.3!I15</f>
        <v>-2.8356092556126478</v>
      </c>
      <c r="H15" s="204">
        <f>-A4.4.3!G15/A4.4.3!I15</f>
        <v>1.835609255612648</v>
      </c>
      <c r="I15" s="204">
        <f t="shared" si="1"/>
        <v>-0.99999999999999978</v>
      </c>
      <c r="J15" s="203">
        <f>-A4.4.3!K15/A4.4.3!L15</f>
        <v>-2.7689996645685437</v>
      </c>
      <c r="K15" s="204">
        <f>-A4.4.3!J15/A4.4.3!L15</f>
        <v>1.768999664568544</v>
      </c>
      <c r="L15" s="204">
        <f t="shared" si="2"/>
        <v>-0.99999999999999978</v>
      </c>
      <c r="M15" s="203">
        <f>-A4.4.3!N15/A4.4.3!O15</f>
        <v>-2.8586805977911718</v>
      </c>
      <c r="N15" s="204">
        <f>-A4.4.3!M15/A4.4.3!O15</f>
        <v>1.8586805977911718</v>
      </c>
      <c r="O15" s="205">
        <f t="shared" si="3"/>
        <v>-1</v>
      </c>
      <c r="Q15" s="73"/>
    </row>
    <row r="16" spans="1:35" s="29" customFormat="1" ht="13.35" customHeight="1">
      <c r="A16" s="27"/>
      <c r="B16" s="30" t="s">
        <v>87</v>
      </c>
      <c r="C16" s="30"/>
      <c r="D16" s="203">
        <f>-A4.4.3!E16/A4.4.3!F16</f>
        <v>-2.4825863989823911</v>
      </c>
      <c r="E16" s="204">
        <f>-A4.4.3!D16/A4.4.3!F16</f>
        <v>1.4825863989823911</v>
      </c>
      <c r="F16" s="204">
        <f t="shared" si="0"/>
        <v>-1</v>
      </c>
      <c r="G16" s="203">
        <f>-A4.4.3!H16/A4.4.3!I16</f>
        <v>-3.1531346325934715</v>
      </c>
      <c r="H16" s="204">
        <f>-A4.4.3!G16/A4.4.3!I16</f>
        <v>2.1531346325934715</v>
      </c>
      <c r="I16" s="204">
        <f t="shared" si="1"/>
        <v>-1</v>
      </c>
      <c r="J16" s="203">
        <f>-A4.4.3!K16/A4.4.3!L16</f>
        <v>-2.2217615659288228</v>
      </c>
      <c r="K16" s="204">
        <f>-A4.4.3!J16/A4.4.3!L16</f>
        <v>1.221761565928823</v>
      </c>
      <c r="L16" s="204">
        <f t="shared" si="2"/>
        <v>-0.99999999999999978</v>
      </c>
      <c r="M16" s="203">
        <f>-A4.4.3!N16/A4.4.3!O16</f>
        <v>-2.6588456831570224</v>
      </c>
      <c r="N16" s="204">
        <f>-A4.4.3!M16/A4.4.3!O16</f>
        <v>1.6588456831570224</v>
      </c>
      <c r="O16" s="205">
        <f t="shared" si="3"/>
        <v>-1</v>
      </c>
      <c r="Q16" s="73"/>
    </row>
    <row r="17" spans="1:17" s="29" customFormat="1" ht="13.35" customHeight="1">
      <c r="A17" s="27"/>
      <c r="B17" s="30" t="s">
        <v>67</v>
      </c>
      <c r="C17" s="30"/>
      <c r="D17" s="203">
        <f>-A4.4.3!E17/A4.4.3!F17</f>
        <v>-3.186498134934193</v>
      </c>
      <c r="E17" s="204">
        <f>-A4.4.3!D17/A4.4.3!F17</f>
        <v>2.186498134934193</v>
      </c>
      <c r="F17" s="204">
        <f t="shared" si="0"/>
        <v>-1</v>
      </c>
      <c r="G17" s="203">
        <f>-A4.4.3!H17/A4.4.3!I17</f>
        <v>-3.1954378188150927</v>
      </c>
      <c r="H17" s="204">
        <f>-A4.4.3!G17/A4.4.3!I17</f>
        <v>2.1954378188150927</v>
      </c>
      <c r="I17" s="204">
        <f t="shared" si="1"/>
        <v>-1</v>
      </c>
      <c r="J17" s="203">
        <f>-A4.4.3!K17/A4.4.3!L17</f>
        <v>-3.0059392475572015</v>
      </c>
      <c r="K17" s="204">
        <f>-A4.4.3!J17/A4.4.3!L17</f>
        <v>2.0059392475572015</v>
      </c>
      <c r="L17" s="204">
        <f t="shared" si="2"/>
        <v>-1</v>
      </c>
      <c r="M17" s="203">
        <f>-A4.4.3!N17/A4.4.3!O17</f>
        <v>-2.8726861977312397</v>
      </c>
      <c r="N17" s="204">
        <f>-A4.4.3!M17/A4.4.3!O17</f>
        <v>1.8726861977312397</v>
      </c>
      <c r="O17" s="205">
        <f t="shared" si="3"/>
        <v>-1</v>
      </c>
      <c r="Q17" s="73"/>
    </row>
    <row r="18" spans="1:17" s="29" customFormat="1" ht="13.35" customHeight="1">
      <c r="A18" s="27"/>
      <c r="B18" s="30" t="s">
        <v>88</v>
      </c>
      <c r="C18" s="30"/>
      <c r="D18" s="203">
        <f>-A4.4.3!E18/A4.4.3!F18</f>
        <v>-2.2358075729441151</v>
      </c>
      <c r="E18" s="204">
        <f>-A4.4.3!D18/A4.4.3!F18</f>
        <v>1.2358075729441149</v>
      </c>
      <c r="F18" s="204">
        <f t="shared" si="0"/>
        <v>-1.0000000000000002</v>
      </c>
      <c r="G18" s="203">
        <f>-A4.4.3!H18/A4.4.3!I18</f>
        <v>-2.2298725827706303</v>
      </c>
      <c r="H18" s="204">
        <f>-A4.4.3!G18/A4.4.3!I18</f>
        <v>1.2298725827706303</v>
      </c>
      <c r="I18" s="204">
        <f t="shared" si="1"/>
        <v>-1</v>
      </c>
      <c r="J18" s="203">
        <f>-A4.4.3!K18/A4.4.3!L18</f>
        <v>-2.3967146713205394</v>
      </c>
      <c r="K18" s="204">
        <f>-A4.4.3!J18/A4.4.3!L18</f>
        <v>1.3967146713205394</v>
      </c>
      <c r="L18" s="204">
        <f t="shared" si="2"/>
        <v>-1</v>
      </c>
      <c r="M18" s="203">
        <f>-A4.4.3!N18/A4.4.3!O18</f>
        <v>-2.2206135791075168</v>
      </c>
      <c r="N18" s="204">
        <f>-A4.4.3!M18/A4.4.3!O18</f>
        <v>1.2206135791075168</v>
      </c>
      <c r="O18" s="205">
        <f t="shared" si="3"/>
        <v>-1</v>
      </c>
      <c r="Q18" s="73"/>
    </row>
    <row r="19" spans="1:17" s="29" customFormat="1" ht="13.35" customHeight="1">
      <c r="A19" s="27"/>
      <c r="B19" s="30" t="s">
        <v>139</v>
      </c>
      <c r="C19" s="30"/>
      <c r="D19" s="203">
        <f>-A4.4.3!E19/A4.4.3!F19</f>
        <v>-2.0420920688847688</v>
      </c>
      <c r="E19" s="204">
        <f>-A4.4.3!D19/A4.4.3!F19</f>
        <v>1.042092068884769</v>
      </c>
      <c r="F19" s="204">
        <f t="shared" si="0"/>
        <v>-0.99999999999999978</v>
      </c>
      <c r="G19" s="203">
        <f>-A4.4.3!H19/A4.4.3!I19</f>
        <v>-2.2105387635726856</v>
      </c>
      <c r="H19" s="204">
        <f>-A4.4.3!G19/A4.4.3!I19</f>
        <v>1.2105387635726856</v>
      </c>
      <c r="I19" s="204">
        <f t="shared" si="1"/>
        <v>-1</v>
      </c>
      <c r="J19" s="203">
        <f>-A4.4.3!K19/A4.4.3!L19</f>
        <v>-2.0025735725153928</v>
      </c>
      <c r="K19" s="204">
        <f>-A4.4.3!J19/A4.4.3!L19</f>
        <v>1.0025735725153928</v>
      </c>
      <c r="L19" s="204">
        <f t="shared" si="2"/>
        <v>-1</v>
      </c>
      <c r="M19" s="203">
        <f>-A4.4.3!N19/A4.4.3!O19</f>
        <v>-2.195638083672939</v>
      </c>
      <c r="N19" s="204">
        <f>-A4.4.3!M19/A4.4.3!O19</f>
        <v>1.195638083672939</v>
      </c>
      <c r="O19" s="205">
        <f t="shared" si="3"/>
        <v>-1</v>
      </c>
      <c r="Q19" s="73"/>
    </row>
    <row r="20" spans="1:17" s="29" customFormat="1" ht="13.35" customHeight="1">
      <c r="A20" s="27"/>
      <c r="B20" s="30" t="s">
        <v>68</v>
      </c>
      <c r="C20" s="30"/>
      <c r="D20" s="203">
        <f>-A4.4.3!E20/A4.4.3!F20</f>
        <v>-1.5958073727889037</v>
      </c>
      <c r="E20" s="204">
        <f>-A4.4.3!D20/A4.4.3!F20</f>
        <v>0.59580737278890372</v>
      </c>
      <c r="F20" s="204">
        <f t="shared" si="0"/>
        <v>-1</v>
      </c>
      <c r="G20" s="203">
        <f>-A4.4.3!H20/A4.4.3!I20</f>
        <v>-1.5502824861621487</v>
      </c>
      <c r="H20" s="204">
        <f>-A4.4.3!G20/A4.4.3!I20</f>
        <v>0.5502824861621487</v>
      </c>
      <c r="I20" s="204">
        <f t="shared" si="1"/>
        <v>-1</v>
      </c>
      <c r="J20" s="203">
        <f>-A4.4.3!K20/A4.4.3!L20</f>
        <v>-1.4879105164769277</v>
      </c>
      <c r="K20" s="204">
        <f>-A4.4.3!J20/A4.4.3!L20</f>
        <v>0.48791051647692774</v>
      </c>
      <c r="L20" s="204">
        <f t="shared" si="2"/>
        <v>-1</v>
      </c>
      <c r="M20" s="203">
        <f>-A4.4.3!N20/A4.4.3!O20</f>
        <v>-1.6211996042966863</v>
      </c>
      <c r="N20" s="204">
        <f>-A4.4.3!M20/A4.4.3!O20</f>
        <v>0.62119960429668619</v>
      </c>
      <c r="O20" s="205">
        <f t="shared" si="3"/>
        <v>-1</v>
      </c>
      <c r="Q20" s="73"/>
    </row>
    <row r="21" spans="1:17" s="29" customFormat="1" ht="13.35" customHeight="1">
      <c r="A21" s="27"/>
      <c r="B21" s="30" t="s">
        <v>69</v>
      </c>
      <c r="C21" s="30"/>
      <c r="D21" s="203">
        <f>-A4.4.3!E21/A4.4.3!F21</f>
        <v>-1.5423649877225689</v>
      </c>
      <c r="E21" s="204">
        <f>-A4.4.3!D21/A4.4.3!F21</f>
        <v>0.5423649877225688</v>
      </c>
      <c r="F21" s="204">
        <f t="shared" si="0"/>
        <v>-1</v>
      </c>
      <c r="G21" s="203">
        <f>-A4.4.3!H21/A4.4.3!I21</f>
        <v>-1.6278852108051567</v>
      </c>
      <c r="H21" s="204">
        <f>-A4.4.3!G21/A4.4.3!I21</f>
        <v>0.62788521080515669</v>
      </c>
      <c r="I21" s="204">
        <f t="shared" si="1"/>
        <v>-1</v>
      </c>
      <c r="J21" s="203">
        <f>-A4.4.3!K21/A4.4.3!L21</f>
        <v>-1.7496489609668355</v>
      </c>
      <c r="K21" s="204">
        <f>-A4.4.3!J21/A4.4.3!L21</f>
        <v>0.74964896096683531</v>
      </c>
      <c r="L21" s="204">
        <f t="shared" si="2"/>
        <v>-1.0000000000000002</v>
      </c>
      <c r="M21" s="203">
        <f>-A4.4.3!N21/A4.4.3!O21</f>
        <v>-1.7271152901666336</v>
      </c>
      <c r="N21" s="204">
        <f>-A4.4.3!M21/A4.4.3!O21</f>
        <v>0.72711529016663357</v>
      </c>
      <c r="O21" s="205">
        <f t="shared" si="3"/>
        <v>-1</v>
      </c>
      <c r="Q21" s="73"/>
    </row>
    <row r="22" spans="1:17" s="29" customFormat="1" ht="13.35" customHeight="1">
      <c r="A22" s="27"/>
      <c r="B22" s="30" t="s">
        <v>70</v>
      </c>
      <c r="C22" s="30"/>
      <c r="D22" s="203">
        <f>-A4.4.3!E22/A4.4.3!F22</f>
        <v>-2.038651958092542</v>
      </c>
      <c r="E22" s="204">
        <f>-A4.4.3!D22/A4.4.3!F22</f>
        <v>1.0386519580925417</v>
      </c>
      <c r="F22" s="204">
        <f t="shared" si="0"/>
        <v>-1.0000000000000002</v>
      </c>
      <c r="G22" s="203">
        <f>-A4.4.3!H22/A4.4.3!I22</f>
        <v>-2.5837502948164754</v>
      </c>
      <c r="H22" s="204">
        <f>-A4.4.3!G22/A4.4.3!I22</f>
        <v>1.5837502948164752</v>
      </c>
      <c r="I22" s="204">
        <f t="shared" si="1"/>
        <v>-1.0000000000000002</v>
      </c>
      <c r="J22" s="203">
        <f>-A4.4.3!K22/A4.4.3!L22</f>
        <v>-2.4751143795962829</v>
      </c>
      <c r="K22" s="204">
        <f>-A4.4.3!J22/A4.4.3!L22</f>
        <v>1.4751143795962831</v>
      </c>
      <c r="L22" s="204">
        <f t="shared" si="2"/>
        <v>-0.99999999999999978</v>
      </c>
      <c r="M22" s="203">
        <f>-A4.4.3!N22/A4.4.3!O22</f>
        <v>-2.3955939123467291</v>
      </c>
      <c r="N22" s="204">
        <f>-A4.4.3!M22/A4.4.3!O22</f>
        <v>1.3955939123467289</v>
      </c>
      <c r="O22" s="205">
        <f t="shared" si="3"/>
        <v>-1.0000000000000002</v>
      </c>
      <c r="Q22" s="73"/>
    </row>
    <row r="23" spans="1:17" s="29" customFormat="1" ht="13.35" customHeight="1">
      <c r="A23" s="27"/>
      <c r="B23" s="30" t="s">
        <v>71</v>
      </c>
      <c r="C23" s="30"/>
      <c r="D23" s="203">
        <f>-A4.4.3!E23/A4.4.3!F23</f>
        <v>-2.1232582357108454</v>
      </c>
      <c r="E23" s="204">
        <f>-A4.4.3!D23/A4.4.3!F23</f>
        <v>1.1232582357108456</v>
      </c>
      <c r="F23" s="204">
        <f t="shared" si="0"/>
        <v>-0.99999999999999978</v>
      </c>
      <c r="G23" s="203">
        <f>-A4.4.3!H23/A4.4.3!I23</f>
        <v>-2.4957096844597153</v>
      </c>
      <c r="H23" s="204">
        <f>-A4.4.3!G23/A4.4.3!I23</f>
        <v>1.4957096844597153</v>
      </c>
      <c r="I23" s="204">
        <f t="shared" si="1"/>
        <v>-1</v>
      </c>
      <c r="J23" s="203">
        <f>-A4.4.3!K23/A4.4.3!L23</f>
        <v>-2.6372399553627139</v>
      </c>
      <c r="K23" s="204">
        <f>-A4.4.3!J23/A4.4.3!L23</f>
        <v>1.6372399553627139</v>
      </c>
      <c r="L23" s="204">
        <f t="shared" si="2"/>
        <v>-1</v>
      </c>
      <c r="M23" s="203">
        <f>-A4.4.3!N23/A4.4.3!O23</f>
        <v>-2.4146428356437637</v>
      </c>
      <c r="N23" s="204">
        <f>-A4.4.3!M23/A4.4.3!O23</f>
        <v>1.4146428356437639</v>
      </c>
      <c r="O23" s="205">
        <f t="shared" si="3"/>
        <v>-0.99999999999999978</v>
      </c>
      <c r="Q23" s="73"/>
    </row>
    <row r="24" spans="1:17" s="29" customFormat="1" ht="13.35" customHeight="1">
      <c r="A24" s="27"/>
      <c r="B24" s="30" t="s">
        <v>103</v>
      </c>
      <c r="C24" s="30"/>
      <c r="D24" s="203">
        <f>-A4.4.3!E24/A4.4.3!F24</f>
        <v>-2.0219484831618377</v>
      </c>
      <c r="E24" s="204">
        <f>-A4.4.3!D24/A4.4.3!F24</f>
        <v>1.0219484831618377</v>
      </c>
      <c r="F24" s="204">
        <f t="shared" si="0"/>
        <v>-1</v>
      </c>
      <c r="G24" s="203">
        <f>-A4.4.3!H24/A4.4.3!I24</f>
        <v>-1.9934684695412048</v>
      </c>
      <c r="H24" s="204">
        <f>-A4.4.3!G24/A4.4.3!I24</f>
        <v>0.99346846954120482</v>
      </c>
      <c r="I24" s="204">
        <f t="shared" si="1"/>
        <v>-1</v>
      </c>
      <c r="J24" s="203">
        <f>-A4.4.3!K24/A4.4.3!L24</f>
        <v>-1.9580293979834467</v>
      </c>
      <c r="K24" s="204">
        <f>-A4.4.3!J24/A4.4.3!L24</f>
        <v>0.95802939798344666</v>
      </c>
      <c r="L24" s="204">
        <f t="shared" si="2"/>
        <v>-1</v>
      </c>
      <c r="M24" s="203">
        <f>-A4.4.3!N24/A4.4.3!O24</f>
        <v>-2.111483505797644</v>
      </c>
      <c r="N24" s="204">
        <f>-A4.4.3!M24/A4.4.3!O24</f>
        <v>1.1114835057976442</v>
      </c>
      <c r="O24" s="205">
        <f t="shared" si="3"/>
        <v>-0.99999999999999978</v>
      </c>
      <c r="Q24" s="73"/>
    </row>
    <row r="25" spans="1:17" s="29" customFormat="1" ht="13.35" customHeight="1">
      <c r="A25" s="27"/>
      <c r="B25" s="30" t="s">
        <v>89</v>
      </c>
      <c r="C25" s="30"/>
      <c r="D25" s="203">
        <f>-A4.4.3!E25/A4.4.3!F25</f>
        <v>-1.8615943527294321</v>
      </c>
      <c r="E25" s="204">
        <f>-A4.4.3!D25/A4.4.3!F25</f>
        <v>0.86159435272943208</v>
      </c>
      <c r="F25" s="204">
        <f t="shared" si="0"/>
        <v>-1</v>
      </c>
      <c r="G25" s="203">
        <f>-A4.4.3!H25/A4.4.3!I25</f>
        <v>-1.9573999626779226</v>
      </c>
      <c r="H25" s="204">
        <f>-A4.4.3!G25/A4.4.3!I25</f>
        <v>0.95739996267792271</v>
      </c>
      <c r="I25" s="204">
        <f t="shared" si="1"/>
        <v>-0.99999999999999989</v>
      </c>
      <c r="J25" s="203">
        <f>-A4.4.3!K25/A4.4.3!L25</f>
        <v>-1.6529001730006823</v>
      </c>
      <c r="K25" s="204">
        <f>-A4.4.3!J25/A4.4.3!L25</f>
        <v>0.65290017300068237</v>
      </c>
      <c r="L25" s="204">
        <f t="shared" si="2"/>
        <v>-0.99999999999999989</v>
      </c>
      <c r="M25" s="203">
        <f>-A4.4.3!N25/A4.4.3!O25</f>
        <v>-1.5386662621873102</v>
      </c>
      <c r="N25" s="204">
        <f>-A4.4.3!M25/A4.4.3!O25</f>
        <v>0.53866626218731017</v>
      </c>
      <c r="O25" s="205">
        <f t="shared" si="3"/>
        <v>-1</v>
      </c>
      <c r="Q25" s="73"/>
    </row>
    <row r="26" spans="1:17" s="29" customFormat="1" ht="13.35" customHeight="1">
      <c r="A26" s="27"/>
      <c r="B26" s="30" t="s">
        <v>72</v>
      </c>
      <c r="C26" s="30"/>
      <c r="D26" s="203">
        <f>-A4.4.3!E26/A4.4.3!F26</f>
        <v>-1.7737681793926998</v>
      </c>
      <c r="E26" s="204">
        <f>-A4.4.3!D26/A4.4.3!F26</f>
        <v>0.77376817939269982</v>
      </c>
      <c r="F26" s="204">
        <f t="shared" si="0"/>
        <v>-1</v>
      </c>
      <c r="G26" s="203">
        <f>-A4.4.3!H26/A4.4.3!I26</f>
        <v>-2.1512527832482413</v>
      </c>
      <c r="H26" s="204">
        <f>-A4.4.3!G26/A4.4.3!I26</f>
        <v>1.1512527832482413</v>
      </c>
      <c r="I26" s="204">
        <f t="shared" si="1"/>
        <v>-1</v>
      </c>
      <c r="J26" s="203">
        <f>-A4.4.3!K26/A4.4.3!L26</f>
        <v>-1.7730500835246876</v>
      </c>
      <c r="K26" s="204">
        <f>-A4.4.3!J26/A4.4.3!L26</f>
        <v>0.77305008352468751</v>
      </c>
      <c r="L26" s="204">
        <f t="shared" si="2"/>
        <v>-1</v>
      </c>
      <c r="M26" s="203">
        <f>-A4.4.3!N26/A4.4.3!O26</f>
        <v>-1.6774079236336519</v>
      </c>
      <c r="N26" s="204">
        <f>-A4.4.3!M26/A4.4.3!O26</f>
        <v>0.67740792363365199</v>
      </c>
      <c r="O26" s="205">
        <f t="shared" si="3"/>
        <v>-0.99999999999999989</v>
      </c>
      <c r="Q26" s="73"/>
    </row>
    <row r="27" spans="1:17" s="29" customFormat="1" ht="13.35" customHeight="1">
      <c r="A27" s="27"/>
      <c r="B27" s="30" t="s">
        <v>73</v>
      </c>
      <c r="C27" s="30"/>
      <c r="D27" s="203">
        <f>-A4.4.3!E27/A4.4.3!F27</f>
        <v>-5.2400121672712849</v>
      </c>
      <c r="E27" s="204">
        <f>-A4.4.3!D27/A4.4.3!F27</f>
        <v>4.2400121672712849</v>
      </c>
      <c r="F27" s="204">
        <f t="shared" si="0"/>
        <v>-1</v>
      </c>
      <c r="G27" s="203">
        <f>-A4.4.3!H27/A4.4.3!I27</f>
        <v>-4.8326314675932078</v>
      </c>
      <c r="H27" s="204">
        <f>-A4.4.3!G27/A4.4.3!I27</f>
        <v>3.8326314675932078</v>
      </c>
      <c r="I27" s="204">
        <f t="shared" si="1"/>
        <v>-1</v>
      </c>
      <c r="J27" s="203">
        <f>-A4.4.3!K27/A4.4.3!L27</f>
        <v>-5.1916355436973785</v>
      </c>
      <c r="K27" s="204">
        <f>-A4.4.3!J27/A4.4.3!L27</f>
        <v>4.1916355436973785</v>
      </c>
      <c r="L27" s="204">
        <f t="shared" si="2"/>
        <v>-1</v>
      </c>
      <c r="M27" s="203">
        <f>-A4.4.3!N27/A4.4.3!O27</f>
        <v>-5.8112539148151523</v>
      </c>
      <c r="N27" s="204">
        <f>-A4.4.3!M27/A4.4.3!O27</f>
        <v>4.8112539148151523</v>
      </c>
      <c r="O27" s="205">
        <f t="shared" si="3"/>
        <v>-1</v>
      </c>
      <c r="Q27" s="73"/>
    </row>
    <row r="28" spans="1:17" s="29" customFormat="1" ht="13.35" customHeight="1">
      <c r="A28" s="27"/>
      <c r="B28" s="30" t="s">
        <v>74</v>
      </c>
      <c r="C28" s="30"/>
      <c r="D28" s="203">
        <f>-A4.4.3!E28/A4.4.3!F28</f>
        <v>-2.8884589704177683</v>
      </c>
      <c r="E28" s="204">
        <f>-A4.4.3!D28/A4.4.3!F28</f>
        <v>1.8884589704177681</v>
      </c>
      <c r="F28" s="204">
        <f t="shared" si="0"/>
        <v>-1.0000000000000002</v>
      </c>
      <c r="G28" s="203">
        <f>-A4.4.3!H28/A4.4.3!I28</f>
        <v>-3.0234846708024139</v>
      </c>
      <c r="H28" s="204">
        <f>-A4.4.3!G28/A4.4.3!I28</f>
        <v>2.0234846708024139</v>
      </c>
      <c r="I28" s="204">
        <f t="shared" si="1"/>
        <v>-1</v>
      </c>
      <c r="J28" s="203">
        <f>-A4.4.3!K28/A4.4.3!L28</f>
        <v>-2.7791128017176399</v>
      </c>
      <c r="K28" s="204">
        <f>-A4.4.3!J28/A4.4.3!L28</f>
        <v>1.7791128017176399</v>
      </c>
      <c r="L28" s="204">
        <f t="shared" si="2"/>
        <v>-1</v>
      </c>
      <c r="M28" s="203">
        <f>-A4.4.3!N28/A4.4.3!O28</f>
        <v>-2.9874551481221574</v>
      </c>
      <c r="N28" s="204">
        <f>-A4.4.3!M28/A4.4.3!O28</f>
        <v>1.9874551481221574</v>
      </c>
      <c r="O28" s="205">
        <f t="shared" si="3"/>
        <v>-1</v>
      </c>
      <c r="Q28" s="73"/>
    </row>
    <row r="29" spans="1:17" s="29" customFormat="1" ht="13.35" customHeight="1">
      <c r="A29" s="27"/>
      <c r="B29" s="30" t="s">
        <v>75</v>
      </c>
      <c r="C29" s="30"/>
      <c r="D29" s="203">
        <f>-A4.4.3!E29/A4.4.3!F29</f>
        <v>-1.6483213317744032</v>
      </c>
      <c r="E29" s="204">
        <f>-A4.4.3!D29/A4.4.3!F29</f>
        <v>0.64832133177440332</v>
      </c>
      <c r="F29" s="204">
        <f t="shared" si="0"/>
        <v>-0.99999999999999989</v>
      </c>
      <c r="G29" s="203">
        <f>-A4.4.3!H29/A4.4.3!I29</f>
        <v>-1.5055849841254643</v>
      </c>
      <c r="H29" s="204">
        <f>-A4.4.3!G29/A4.4.3!I29</f>
        <v>0.50558498412546438</v>
      </c>
      <c r="I29" s="204">
        <f t="shared" si="1"/>
        <v>-0.99999999999999989</v>
      </c>
      <c r="J29" s="203">
        <f>-A4.4.3!K29/A4.4.3!L29</f>
        <v>-1.4412417633757111</v>
      </c>
      <c r="K29" s="204">
        <f>-A4.4.3!J29/A4.4.3!L29</f>
        <v>0.44124176337571097</v>
      </c>
      <c r="L29" s="204">
        <f t="shared" si="2"/>
        <v>-1</v>
      </c>
      <c r="M29" s="203">
        <f>-A4.4.3!N29/A4.4.3!O29</f>
        <v>-1.4950567310826923</v>
      </c>
      <c r="N29" s="204">
        <f>-A4.4.3!M29/A4.4.3!O29</f>
        <v>0.49505673108269216</v>
      </c>
      <c r="O29" s="205">
        <f t="shared" si="3"/>
        <v>-1.0000000000000002</v>
      </c>
      <c r="Q29" s="73"/>
    </row>
    <row r="30" spans="1:17" s="29" customFormat="1" ht="13.35" customHeight="1">
      <c r="A30" s="27"/>
      <c r="B30" s="30" t="s">
        <v>90</v>
      </c>
      <c r="C30" s="30"/>
      <c r="D30" s="203">
        <f>-A4.4.3!E30/A4.4.3!F30</f>
        <v>-3.2561197150404739</v>
      </c>
      <c r="E30" s="204">
        <f>-A4.4.3!D30/A4.4.3!F30</f>
        <v>2.2561197150404739</v>
      </c>
      <c r="F30" s="204">
        <f t="shared" si="0"/>
        <v>-1</v>
      </c>
      <c r="G30" s="203">
        <f>-A4.4.3!H30/A4.4.3!I30</f>
        <v>-2.9746373901362668</v>
      </c>
      <c r="H30" s="204">
        <f>-A4.4.3!G30/A4.4.3!I30</f>
        <v>1.9746373901362668</v>
      </c>
      <c r="I30" s="204">
        <f t="shared" si="1"/>
        <v>-1</v>
      </c>
      <c r="J30" s="203">
        <f>-A4.4.3!K30/A4.4.3!L30</f>
        <v>-2.7858493075087338</v>
      </c>
      <c r="K30" s="204">
        <f>-A4.4.3!J30/A4.4.3!L30</f>
        <v>1.7858493075087338</v>
      </c>
      <c r="L30" s="204">
        <f t="shared" si="2"/>
        <v>-1</v>
      </c>
      <c r="M30" s="203">
        <f>-A4.4.3!N30/A4.4.3!O30</f>
        <v>-2.5789422040649193</v>
      </c>
      <c r="N30" s="204">
        <f>-A4.4.3!M30/A4.4.3!O30</f>
        <v>1.5789422040649195</v>
      </c>
      <c r="O30" s="205">
        <f t="shared" si="3"/>
        <v>-0.99999999999999978</v>
      </c>
      <c r="Q30" s="73"/>
    </row>
    <row r="31" spans="1:17" s="29" customFormat="1" ht="13.35" customHeight="1">
      <c r="A31" s="27"/>
      <c r="B31" s="30" t="s">
        <v>2</v>
      </c>
      <c r="C31" s="30"/>
      <c r="D31" s="203">
        <f>-A4.4.3!E31/A4.4.3!F31</f>
        <v>-2.9061917599171796</v>
      </c>
      <c r="E31" s="204">
        <f>-A4.4.3!D31/A4.4.3!F31</f>
        <v>1.9061917599171798</v>
      </c>
      <c r="F31" s="204">
        <f t="shared" si="0"/>
        <v>-0.99999999999999978</v>
      </c>
      <c r="G31" s="203">
        <f>-A4.4.3!H31/A4.4.3!I31</f>
        <v>-3.4713597178102815</v>
      </c>
      <c r="H31" s="204">
        <f>-A4.4.3!G31/A4.4.3!I31</f>
        <v>2.4713597178102815</v>
      </c>
      <c r="I31" s="204">
        <f t="shared" si="1"/>
        <v>-1</v>
      </c>
      <c r="J31" s="203">
        <f>-A4.4.3!K31/A4.4.3!L31</f>
        <v>-3.1653627664111745</v>
      </c>
      <c r="K31" s="204">
        <f>-A4.4.3!J31/A4.4.3!L31</f>
        <v>2.1653627664111745</v>
      </c>
      <c r="L31" s="204">
        <f t="shared" si="2"/>
        <v>-1</v>
      </c>
      <c r="M31" s="203">
        <f>-A4.4.3!N31/A4.4.3!O31</f>
        <v>-2.9714550475062911</v>
      </c>
      <c r="N31" s="204">
        <f>-A4.4.3!M31/A4.4.3!O31</f>
        <v>1.9714550475062911</v>
      </c>
      <c r="O31" s="205">
        <f t="shared" si="3"/>
        <v>-1</v>
      </c>
      <c r="Q31" s="73"/>
    </row>
    <row r="32" spans="1:17" s="29" customFormat="1" ht="13.35" customHeight="1">
      <c r="A32" s="27"/>
      <c r="B32" s="30" t="s">
        <v>76</v>
      </c>
      <c r="C32" s="30"/>
      <c r="D32" s="203">
        <f>-A4.4.3!E32/A4.4.3!F32</f>
        <v>-1.8727423798573051</v>
      </c>
      <c r="E32" s="204">
        <f>-A4.4.3!D32/A4.4.3!F32</f>
        <v>0.87274237985730518</v>
      </c>
      <c r="F32" s="204">
        <f t="shared" si="0"/>
        <v>-0.99999999999999989</v>
      </c>
      <c r="G32" s="203">
        <f>-A4.4.3!H32/A4.4.3!I32</f>
        <v>-1.7274030583241948</v>
      </c>
      <c r="H32" s="204">
        <f>-A4.4.3!G32/A4.4.3!I32</f>
        <v>0.72740305832419483</v>
      </c>
      <c r="I32" s="204">
        <f t="shared" si="1"/>
        <v>-1</v>
      </c>
      <c r="J32" s="203">
        <f>-A4.4.3!K32/A4.4.3!L32</f>
        <v>-1.782936246562647</v>
      </c>
      <c r="K32" s="204">
        <f>-A4.4.3!J32/A4.4.3!L32</f>
        <v>0.78293624656264715</v>
      </c>
      <c r="L32" s="204">
        <f t="shared" si="2"/>
        <v>-0.99999999999999989</v>
      </c>
      <c r="M32" s="203">
        <f>-A4.4.3!N32/A4.4.3!O32</f>
        <v>-1.9203468512101354</v>
      </c>
      <c r="N32" s="204">
        <f>-A4.4.3!M32/A4.4.3!O32</f>
        <v>0.92034685121013549</v>
      </c>
      <c r="O32" s="205">
        <f t="shared" si="3"/>
        <v>-0.99999999999999989</v>
      </c>
      <c r="Q32" s="73"/>
    </row>
    <row r="33" spans="1:17" s="29" customFormat="1" ht="13.35" customHeight="1">
      <c r="A33" s="27"/>
      <c r="B33" s="30" t="s">
        <v>77</v>
      </c>
      <c r="C33" s="30"/>
      <c r="D33" s="203">
        <f>-A4.4.3!E33/A4.4.3!F33</f>
        <v>-2.3912902014649475</v>
      </c>
      <c r="E33" s="204">
        <f>-A4.4.3!D33/A4.4.3!F33</f>
        <v>1.3912902014649475</v>
      </c>
      <c r="F33" s="204">
        <f t="shared" si="0"/>
        <v>-1</v>
      </c>
      <c r="G33" s="203">
        <f>-A4.4.3!H33/A4.4.3!I33</f>
        <v>-2.6414793574328272</v>
      </c>
      <c r="H33" s="204">
        <f>-A4.4.3!G33/A4.4.3!I33</f>
        <v>1.6414793574328275</v>
      </c>
      <c r="I33" s="204">
        <f t="shared" si="1"/>
        <v>-0.99999999999999978</v>
      </c>
      <c r="J33" s="203">
        <f>-A4.4.3!K33/A4.4.3!L33</f>
        <v>-2.3089750175436401</v>
      </c>
      <c r="K33" s="204">
        <f>-A4.4.3!J33/A4.4.3!L33</f>
        <v>1.3089750175436399</v>
      </c>
      <c r="L33" s="204">
        <f t="shared" si="2"/>
        <v>-1.0000000000000002</v>
      </c>
      <c r="M33" s="203">
        <f>-A4.4.3!N33/A4.4.3!O33</f>
        <v>-2.5370090675013852</v>
      </c>
      <c r="N33" s="204">
        <f>-A4.4.3!M33/A4.4.3!O33</f>
        <v>1.537009067501385</v>
      </c>
      <c r="O33" s="205">
        <f t="shared" si="3"/>
        <v>-1.0000000000000002</v>
      </c>
      <c r="Q33" s="73"/>
    </row>
    <row r="34" spans="1:17" s="33" customFormat="1" ht="13.35" customHeight="1">
      <c r="A34" s="31"/>
      <c r="B34" s="32" t="s">
        <v>91</v>
      </c>
      <c r="C34" s="32"/>
      <c r="D34" s="203">
        <f>-A4.4.3!E34/A4.4.3!F34</f>
        <v>-2.9263772384418316</v>
      </c>
      <c r="E34" s="204">
        <f>-A4.4.3!D34/A4.4.3!F34</f>
        <v>1.9263772384418316</v>
      </c>
      <c r="F34" s="204">
        <f t="shared" si="0"/>
        <v>-1</v>
      </c>
      <c r="G34" s="203">
        <f>-A4.4.3!H34/A4.4.3!I34</f>
        <v>-2.3986760658435342</v>
      </c>
      <c r="H34" s="204">
        <f>-A4.4.3!G34/A4.4.3!I34</f>
        <v>1.3986760658435344</v>
      </c>
      <c r="I34" s="204">
        <f t="shared" si="1"/>
        <v>-0.99999999999999978</v>
      </c>
      <c r="J34" s="203">
        <f>-A4.4.3!K34/A4.4.3!L34</f>
        <v>-2.7986444235977843</v>
      </c>
      <c r="K34" s="204">
        <f>-A4.4.3!J34/A4.4.3!L34</f>
        <v>1.7986444235977841</v>
      </c>
      <c r="L34" s="204">
        <f t="shared" si="2"/>
        <v>-1.0000000000000002</v>
      </c>
      <c r="M34" s="203">
        <f>-A4.4.3!N34/A4.4.3!O34</f>
        <v>-2.7259901594237665</v>
      </c>
      <c r="N34" s="204">
        <f>-A4.4.3!M34/A4.4.3!O34</f>
        <v>1.7259901594237663</v>
      </c>
      <c r="O34" s="205">
        <f t="shared" si="3"/>
        <v>-1.0000000000000002</v>
      </c>
      <c r="Q34" s="73"/>
    </row>
    <row r="35" spans="1:17" s="33" customFormat="1" ht="13.35" customHeight="1">
      <c r="A35" s="31"/>
      <c r="B35" s="32" t="s">
        <v>78</v>
      </c>
      <c r="C35" s="32"/>
      <c r="D35" s="203">
        <f>-A4.4.3!E35/A4.4.3!F35</f>
        <v>-3.5706479346575262</v>
      </c>
      <c r="E35" s="204">
        <f>-A4.4.3!D35/A4.4.3!F35</f>
        <v>2.5706479346575262</v>
      </c>
      <c r="F35" s="204">
        <f t="shared" si="0"/>
        <v>-1</v>
      </c>
      <c r="G35" s="203">
        <f>-A4.4.3!H35/A4.4.3!I35</f>
        <v>-3.3349525969580176</v>
      </c>
      <c r="H35" s="204">
        <f>-A4.4.3!G35/A4.4.3!I35</f>
        <v>2.3349525969580176</v>
      </c>
      <c r="I35" s="204">
        <f t="shared" si="1"/>
        <v>-1</v>
      </c>
      <c r="J35" s="203">
        <f>-A4.4.3!K35/A4.4.3!L35</f>
        <v>-3.3521372229346862</v>
      </c>
      <c r="K35" s="204">
        <f>-A4.4.3!J35/A4.4.3!L35</f>
        <v>2.3521372229346862</v>
      </c>
      <c r="L35" s="204">
        <f t="shared" si="2"/>
        <v>-1</v>
      </c>
      <c r="M35" s="203">
        <f>-A4.4.3!N35/A4.4.3!O35</f>
        <v>-3.4287696038106787</v>
      </c>
      <c r="N35" s="204">
        <f>-A4.4.3!M35/A4.4.3!O35</f>
        <v>2.4287696038106787</v>
      </c>
      <c r="O35" s="205">
        <f t="shared" si="3"/>
        <v>-1</v>
      </c>
      <c r="Q35" s="73"/>
    </row>
    <row r="36" spans="1:17" s="33" customFormat="1" ht="13.35" customHeight="1">
      <c r="A36" s="31"/>
      <c r="B36" s="32" t="s">
        <v>92</v>
      </c>
      <c r="C36" s="32"/>
      <c r="D36" s="203">
        <f>-A4.4.3!E36/A4.4.3!F36</f>
        <v>-2.9620105031215629</v>
      </c>
      <c r="E36" s="204">
        <f>-A4.4.3!D36/A4.4.3!F36</f>
        <v>1.9620105031215631</v>
      </c>
      <c r="F36" s="204">
        <f t="shared" si="0"/>
        <v>-0.99999999999999978</v>
      </c>
      <c r="G36" s="203">
        <f>-A4.4.3!H36/A4.4.3!I36</f>
        <v>-2.6448006367549515</v>
      </c>
      <c r="H36" s="204">
        <f>-A4.4.3!G36/A4.4.3!I36</f>
        <v>1.6448006367549515</v>
      </c>
      <c r="I36" s="204">
        <f t="shared" si="1"/>
        <v>-1</v>
      </c>
      <c r="J36" s="203">
        <f>-A4.4.3!K36/A4.4.3!L36</f>
        <v>-2.2654654930778233</v>
      </c>
      <c r="K36" s="204">
        <f>-A4.4.3!J36/A4.4.3!L36</f>
        <v>1.2654654930778231</v>
      </c>
      <c r="L36" s="204">
        <f t="shared" si="2"/>
        <v>-1.0000000000000002</v>
      </c>
      <c r="M36" s="203">
        <f>-A4.4.3!N36/A4.4.3!O36</f>
        <v>-2.7022678880880884</v>
      </c>
      <c r="N36" s="204">
        <f>-A4.4.3!M36/A4.4.3!O36</f>
        <v>1.7022678880880884</v>
      </c>
      <c r="O36" s="205">
        <f t="shared" si="3"/>
        <v>-1</v>
      </c>
      <c r="Q36" s="73"/>
    </row>
    <row r="37" spans="1:17" s="29" customFormat="1" ht="13.35" customHeight="1">
      <c r="A37" s="34"/>
      <c r="B37" s="35" t="s">
        <v>0</v>
      </c>
      <c r="C37" s="36"/>
      <c r="D37" s="206">
        <f>-A4.4.3!E37/A4.4.3!F37</f>
        <v>-2.3525136212893272</v>
      </c>
      <c r="E37" s="207">
        <f>-A4.4.3!D37/A4.4.3!F37</f>
        <v>1.3525136212893276</v>
      </c>
      <c r="F37" s="207">
        <f t="shared" si="0"/>
        <v>-0.99999999999999956</v>
      </c>
      <c r="G37" s="206">
        <f>-A4.4.3!H37/A4.4.3!I37</f>
        <v>-2.332245701767437</v>
      </c>
      <c r="H37" s="207">
        <f>-A4.4.3!G37/A4.4.3!I37</f>
        <v>1.3322457017674385</v>
      </c>
      <c r="I37" s="207">
        <f t="shared" si="1"/>
        <v>-0.99999999999999845</v>
      </c>
      <c r="J37" s="206">
        <f>-A4.4.3!K37/A4.4.3!L37</f>
        <v>-2.291643528491552</v>
      </c>
      <c r="K37" s="207">
        <f>-A4.4.3!J37/A4.4.3!L37</f>
        <v>1.2916435284915522</v>
      </c>
      <c r="L37" s="207">
        <f t="shared" si="2"/>
        <v>-0.99999999999999978</v>
      </c>
      <c r="M37" s="206">
        <f>-A4.4.3!N37/A4.4.3!O37</f>
        <v>-2.4031000238868354</v>
      </c>
      <c r="N37" s="207">
        <f>-A4.4.3!M37/A4.4.3!O37</f>
        <v>1.4031000238868356</v>
      </c>
      <c r="O37" s="208">
        <f t="shared" si="3"/>
        <v>-0.99999999999999978</v>
      </c>
    </row>
    <row r="38" spans="1:17" s="29" customFormat="1" ht="12" customHeight="1">
      <c r="B38" s="63"/>
    </row>
    <row r="39" spans="1:17" s="29" customFormat="1" ht="13.35" customHeight="1"/>
    <row r="40" spans="1:17" s="29" customFormat="1" ht="13.35" customHeight="1"/>
    <row r="41" spans="1:17" s="29" customFormat="1" ht="13.35" customHeight="1"/>
    <row r="42" spans="1:17" s="29" customFormat="1" ht="13.35" customHeight="1"/>
    <row r="43" spans="1:17" s="29" customFormat="1" ht="13.35" customHeight="1">
      <c r="M43" s="102"/>
      <c r="N43" s="102"/>
      <c r="O43" s="102"/>
    </row>
    <row r="44" spans="1:17" s="29" customFormat="1" ht="13.35" customHeight="1"/>
    <row r="45" spans="1:17" s="29" customFormat="1" ht="13.35" customHeight="1">
      <c r="B45" s="14"/>
      <c r="N45" s="105"/>
      <c r="O45" s="105"/>
    </row>
    <row r="46" spans="1:17" s="29" customFormat="1" ht="13.35" customHeight="1">
      <c r="B46" s="14"/>
      <c r="N46" s="105"/>
      <c r="O46" s="105"/>
    </row>
    <row r="47" spans="1:17" s="29" customFormat="1" ht="13.35" customHeight="1">
      <c r="B47" s="30"/>
    </row>
    <row r="48" spans="1:17" s="29" customFormat="1" ht="13.35" customHeight="1">
      <c r="B48" s="30"/>
    </row>
    <row r="49" spans="2:2" s="29" customFormat="1" ht="13.35" customHeight="1">
      <c r="B49" s="30"/>
    </row>
    <row r="50" spans="2:2" s="29" customFormat="1" ht="13.35" customHeight="1">
      <c r="B50" s="30"/>
    </row>
    <row r="51" spans="2:2" s="29" customFormat="1" ht="13.35" customHeight="1">
      <c r="B51" s="30"/>
    </row>
    <row r="52" spans="2:2" s="29" customFormat="1" ht="13.35" customHeight="1">
      <c r="B52" s="30"/>
    </row>
    <row r="53" spans="2:2" s="29" customFormat="1" ht="13.35" customHeight="1">
      <c r="B53" s="30"/>
    </row>
    <row r="54" spans="2:2" s="29" customFormat="1" ht="13.35" customHeight="1">
      <c r="B54" s="30"/>
    </row>
    <row r="55" spans="2:2" s="29" customFormat="1" ht="13.35" customHeight="1">
      <c r="B55" s="30"/>
    </row>
    <row r="56" spans="2:2" s="29" customFormat="1" ht="13.35" customHeight="1">
      <c r="B56" s="30"/>
    </row>
    <row r="57" spans="2:2" s="29" customFormat="1" ht="13.35" customHeight="1">
      <c r="B57" s="30"/>
    </row>
    <row r="58" spans="2:2" s="29" customFormat="1" ht="13.35" customHeight="1">
      <c r="B58" s="30"/>
    </row>
    <row r="59" spans="2:2" s="29" customFormat="1" ht="13.35" customHeight="1">
      <c r="B59" s="30"/>
    </row>
    <row r="60" spans="2:2" s="29" customFormat="1" ht="13.35" customHeight="1">
      <c r="B60" s="30"/>
    </row>
    <row r="61" spans="2:2" s="29" customFormat="1" ht="13.35" customHeight="1">
      <c r="B61" s="30"/>
    </row>
    <row r="62" spans="2:2" s="29" customFormat="1" ht="13.35" customHeight="1">
      <c r="B62" s="32"/>
    </row>
    <row r="63" spans="2:2" s="29" customFormat="1" ht="13.35" customHeight="1">
      <c r="B63" s="32"/>
    </row>
    <row r="64" spans="2:2" s="29" customFormat="1" ht="13.35" customHeight="1">
      <c r="B64" s="32"/>
    </row>
    <row r="65" spans="1:15" s="29" customFormat="1" ht="13.35" customHeight="1">
      <c r="A65" s="32"/>
      <c r="B65" s="32"/>
      <c r="M65" s="102"/>
      <c r="N65" s="102"/>
      <c r="O65" s="102"/>
    </row>
    <row r="66" spans="1:15" s="29" customFormat="1" ht="13.35" customHeight="1">
      <c r="A66" s="32"/>
      <c r="B66" s="32"/>
    </row>
    <row r="67" spans="1:15" s="29" customFormat="1" ht="13.35" customHeight="1">
      <c r="A67" s="32"/>
      <c r="B67" s="32"/>
    </row>
    <row r="68" spans="1:15" s="29" customFormat="1" ht="13.35" customHeight="1">
      <c r="A68" s="32"/>
      <c r="B68" s="32"/>
    </row>
    <row r="69" spans="1:15" s="29" customFormat="1" ht="13.35" customHeight="1">
      <c r="A69" s="32"/>
      <c r="B69" s="32"/>
    </row>
    <row r="70" spans="1:15" s="29" customFormat="1" ht="13.35" customHeight="1">
      <c r="A70" s="32"/>
      <c r="B70" s="32"/>
    </row>
    <row r="71" spans="1:15" s="29" customFormat="1" ht="13.35" customHeight="1">
      <c r="A71" s="32"/>
      <c r="B71" s="32"/>
      <c r="M71" s="102"/>
      <c r="N71" s="102"/>
      <c r="O71" s="102"/>
    </row>
    <row r="72" spans="1:15" s="29" customFormat="1" ht="13.35" customHeight="1">
      <c r="A72" s="32"/>
      <c r="B72" s="32"/>
      <c r="M72" s="102"/>
      <c r="N72" s="102"/>
      <c r="O72" s="102"/>
    </row>
    <row r="73" spans="1:15" s="29" customFormat="1" ht="13.35" customHeight="1">
      <c r="A73" s="32"/>
      <c r="B73" s="32"/>
      <c r="M73" s="102"/>
      <c r="N73" s="102"/>
      <c r="O73" s="102"/>
    </row>
    <row r="74" spans="1:15" s="29" customFormat="1" ht="13.35" customHeight="1">
      <c r="A74" s="32"/>
      <c r="B74" s="32"/>
      <c r="M74" s="102"/>
      <c r="N74" s="102"/>
      <c r="O74" s="102"/>
    </row>
    <row r="75" spans="1:15" s="29" customFormat="1" ht="13.35" customHeight="1">
      <c r="A75" s="32"/>
      <c r="B75" s="32"/>
      <c r="M75" s="102"/>
      <c r="N75" s="102"/>
      <c r="O75" s="102"/>
    </row>
    <row r="76" spans="1:15" s="29" customFormat="1" ht="13.35" customHeight="1">
      <c r="A76" s="32"/>
      <c r="B76" s="32"/>
      <c r="M76" s="102"/>
      <c r="N76" s="102"/>
      <c r="O76" s="102"/>
    </row>
    <row r="77" spans="1:15" s="29" customFormat="1" ht="13.35" customHeight="1">
      <c r="A77" s="32"/>
      <c r="B77" s="32"/>
      <c r="M77" s="102"/>
      <c r="N77" s="102"/>
      <c r="O77" s="102"/>
    </row>
    <row r="78" spans="1:15" s="29" customFormat="1" ht="13.35" customHeight="1">
      <c r="A78" s="32"/>
      <c r="B78" s="32"/>
      <c r="M78" s="102"/>
      <c r="N78" s="102"/>
      <c r="O78" s="102"/>
    </row>
    <row r="79" spans="1:15" s="29" customFormat="1" ht="13.35" customHeight="1">
      <c r="A79" s="32"/>
      <c r="B79" s="32"/>
      <c r="M79" s="102"/>
      <c r="N79" s="102"/>
      <c r="O79" s="102"/>
    </row>
    <row r="80" spans="1:15" s="29" customFormat="1" ht="13.35" customHeight="1">
      <c r="A80" s="32"/>
      <c r="B80" s="32"/>
      <c r="M80" s="102"/>
      <c r="N80" s="102"/>
      <c r="O80" s="102"/>
    </row>
    <row r="81" spans="1:15" s="29" customFormat="1" ht="13.35" customHeight="1">
      <c r="A81" s="32"/>
      <c r="B81" s="32"/>
      <c r="M81" s="102"/>
      <c r="N81" s="102"/>
      <c r="O81" s="102"/>
    </row>
    <row r="82" spans="1:15" s="29" customFormat="1" ht="13.35" customHeight="1">
      <c r="A82" s="32"/>
      <c r="B82" s="32"/>
      <c r="M82" s="102"/>
      <c r="N82" s="102"/>
      <c r="O82" s="102"/>
    </row>
    <row r="83" spans="1:15" s="29" customFormat="1" ht="13.35" customHeight="1">
      <c r="M83" s="102"/>
      <c r="N83" s="102"/>
      <c r="O83" s="102"/>
    </row>
    <row r="84" spans="1:15" s="29" customFormat="1" ht="13.35" customHeight="1">
      <c r="M84" s="102"/>
      <c r="N84" s="102"/>
      <c r="O84" s="102"/>
    </row>
    <row r="85" spans="1:15" s="29" customFormat="1" ht="13.35" customHeight="1">
      <c r="M85" s="102"/>
      <c r="N85" s="102"/>
      <c r="O85" s="102"/>
    </row>
    <row r="86" spans="1:15" s="29" customFormat="1" ht="13.35" customHeight="1">
      <c r="M86" s="102"/>
      <c r="N86" s="102"/>
      <c r="O86" s="102"/>
    </row>
    <row r="87" spans="1:15" s="29" customFormat="1" ht="13.35" customHeight="1">
      <c r="M87" s="102"/>
      <c r="N87" s="102"/>
      <c r="O87" s="102"/>
    </row>
    <row r="88" spans="1:15" s="29" customFormat="1" ht="13.35" customHeight="1">
      <c r="M88" s="102"/>
      <c r="N88" s="102"/>
      <c r="O88" s="102"/>
    </row>
    <row r="89" spans="1:15" s="29" customFormat="1" ht="13.35" customHeight="1">
      <c r="M89" s="102"/>
      <c r="N89" s="102"/>
      <c r="O89" s="102"/>
    </row>
    <row r="90" spans="1:15" s="29" customFormat="1" ht="13.35" customHeight="1">
      <c r="M90" s="102"/>
      <c r="N90" s="102"/>
      <c r="O90" s="102"/>
    </row>
    <row r="91" spans="1:15" s="29" customFormat="1" ht="13.35" customHeight="1">
      <c r="M91" s="102"/>
      <c r="N91" s="102"/>
      <c r="O91" s="102"/>
    </row>
    <row r="92" spans="1:15" s="29" customFormat="1" ht="13.35" customHeight="1">
      <c r="M92" s="102"/>
      <c r="N92" s="102"/>
      <c r="O92" s="102"/>
    </row>
    <row r="93" spans="1:15" s="29" customFormat="1" ht="13.35" customHeight="1">
      <c r="M93" s="102"/>
      <c r="N93" s="102"/>
      <c r="O93" s="102"/>
    </row>
    <row r="94" spans="1:15" s="29" customFormat="1" ht="13.35" customHeight="1">
      <c r="M94" s="102"/>
      <c r="N94" s="102"/>
      <c r="O94" s="102"/>
    </row>
    <row r="95" spans="1:15" s="29" customFormat="1" ht="13.35" customHeight="1">
      <c r="M95" s="102"/>
      <c r="N95" s="102"/>
      <c r="O95" s="102"/>
    </row>
    <row r="96" spans="1:15" s="29" customFormat="1" ht="13.35" customHeight="1">
      <c r="M96" s="102"/>
      <c r="N96" s="102"/>
      <c r="O96" s="102"/>
    </row>
    <row r="97" spans="13:15" s="29" customFormat="1" ht="13.35" customHeight="1">
      <c r="M97" s="102"/>
      <c r="N97" s="102"/>
      <c r="O97" s="102"/>
    </row>
    <row r="98" spans="13:15" s="29" customFormat="1" ht="13.35" customHeight="1">
      <c r="M98" s="102"/>
      <c r="N98" s="102"/>
      <c r="O98" s="102"/>
    </row>
    <row r="99" spans="13:15" s="29" customFormat="1" ht="13.35" customHeight="1">
      <c r="M99" s="102"/>
      <c r="N99" s="102"/>
      <c r="O99" s="102"/>
    </row>
    <row r="100" spans="13:15" s="29" customFormat="1" ht="13.35" customHeight="1">
      <c r="M100" s="102"/>
      <c r="N100" s="102"/>
      <c r="O100" s="102"/>
    </row>
    <row r="101" spans="13:15" s="29" customFormat="1" ht="13.35" customHeight="1">
      <c r="M101" s="102"/>
      <c r="N101" s="102"/>
      <c r="O101" s="102"/>
    </row>
    <row r="102" spans="13:15" s="29" customFormat="1" ht="13.35" customHeight="1">
      <c r="N102" s="102"/>
      <c r="O102" s="102"/>
    </row>
    <row r="103" spans="13:15" s="29" customFormat="1" ht="13.35" customHeight="1"/>
    <row r="104" spans="13:15" s="29" customFormat="1" ht="13.35" customHeight="1">
      <c r="N104" s="101"/>
      <c r="O104" s="101"/>
    </row>
    <row r="105" spans="13:15" s="29" customFormat="1" ht="13.35" customHeight="1"/>
    <row r="106" spans="13:15" s="29" customFormat="1" ht="13.35" customHeight="1"/>
    <row r="107" spans="13:15" s="29" customFormat="1" ht="13.35" customHeight="1"/>
    <row r="108" spans="13:15" s="29" customFormat="1" ht="13.35" customHeight="1"/>
    <row r="109" spans="13:15" s="29" customFormat="1" ht="13.35" customHeight="1"/>
    <row r="110" spans="13:15" s="29" customFormat="1" ht="13.35" customHeight="1"/>
    <row r="111" spans="13:15" s="29" customFormat="1" ht="13.35" customHeight="1"/>
    <row r="112" spans="13:15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pans="2:8" s="29" customFormat="1" ht="13.35" customHeight="1"/>
    <row r="3266" spans="2:8" s="29" customFormat="1" ht="13.35" customHeight="1"/>
    <row r="3267" spans="2:8" s="29" customFormat="1" ht="13.35" customHeight="1"/>
    <row r="3268" spans="2:8" s="29" customFormat="1" ht="13.35" customHeight="1"/>
    <row r="3269" spans="2:8" s="29" customFormat="1" ht="13.35" customHeight="1"/>
    <row r="3270" spans="2:8" s="29" customFormat="1" ht="13.35" customHeight="1"/>
    <row r="3271" spans="2:8" s="29" customFormat="1" ht="13.35" customHeight="1"/>
    <row r="3272" spans="2:8" s="29" customFormat="1" ht="13.35" customHeight="1"/>
    <row r="3273" spans="2:8" s="29" customFormat="1" ht="13.35" customHeight="1"/>
    <row r="3274" spans="2:8" s="29" customFormat="1" ht="13.35" customHeight="1"/>
    <row r="3275" spans="2:8" s="29" customFormat="1" ht="13.35" customHeight="1"/>
    <row r="3276" spans="2:8" s="29" customFormat="1" ht="13.35" customHeight="1"/>
    <row r="3277" spans="2:8">
      <c r="B3277" s="29"/>
      <c r="C3277" s="29"/>
      <c r="D3277" s="29"/>
      <c r="E3277" s="29"/>
      <c r="F3277" s="29"/>
      <c r="G3277" s="29"/>
      <c r="H3277" s="29"/>
    </row>
  </sheetData>
  <mergeCells count="1">
    <mergeCell ref="B3:C3"/>
  </mergeCells>
  <pageMargins left="0.98425196850393704" right="0.98425196850393704" top="1.1811023622047245" bottom="1.1811023622047245" header="0.51181102362204722" footer="0.39370078740157483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M3306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18.140625" style="44" customWidth="1"/>
    <col min="4" max="7" width="9" style="44" customWidth="1"/>
    <col min="8" max="10" width="9" style="45" customWidth="1"/>
    <col min="11" max="19" width="9" style="7" customWidth="1"/>
    <col min="20" max="20" width="9.140625" style="7"/>
    <col min="21" max="21" width="9.140625" style="7" customWidth="1"/>
    <col min="22" max="22" width="14.5703125" style="7" customWidth="1"/>
    <col min="23" max="23" width="10.7109375" style="7" customWidth="1"/>
    <col min="24" max="27" width="9.140625" style="7"/>
    <col min="28" max="32" width="9.140625" style="11"/>
    <col min="33" max="33" width="10" style="11" bestFit="1" customWidth="1"/>
    <col min="34" max="39" width="9.140625" style="11"/>
    <col min="40" max="16384" width="9.140625" style="12"/>
  </cols>
  <sheetData>
    <row r="1" spans="1:39" s="6" customFormat="1" ht="15" customHeight="1">
      <c r="A1" s="1" t="s">
        <v>166</v>
      </c>
      <c r="B1" s="1"/>
      <c r="C1" s="1"/>
      <c r="D1" s="2"/>
      <c r="E1" s="2"/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6" customFormat="1" ht="15" customHeight="1">
      <c r="A2" s="64"/>
      <c r="B2" s="65" t="s">
        <v>107</v>
      </c>
      <c r="C2" s="66"/>
      <c r="D2" s="55" t="s">
        <v>38</v>
      </c>
      <c r="E2" s="156"/>
      <c r="F2" s="56"/>
      <c r="G2" s="56"/>
      <c r="H2" s="57" t="s">
        <v>102</v>
      </c>
      <c r="I2" s="155"/>
      <c r="J2" s="56"/>
      <c r="K2" s="56"/>
      <c r="L2" s="57" t="s">
        <v>106</v>
      </c>
      <c r="M2" s="155"/>
      <c r="N2" s="56"/>
      <c r="O2" s="56"/>
      <c r="P2" s="57" t="s">
        <v>110</v>
      </c>
      <c r="Q2" s="155"/>
      <c r="R2" s="56"/>
      <c r="S2" s="58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ht="22.5" customHeight="1">
      <c r="A3" s="59"/>
      <c r="B3" s="245" t="s">
        <v>45</v>
      </c>
      <c r="C3" s="246"/>
      <c r="D3" s="60" t="s">
        <v>5</v>
      </c>
      <c r="E3" s="61" t="s">
        <v>128</v>
      </c>
      <c r="F3" s="61" t="s">
        <v>39</v>
      </c>
      <c r="G3" s="61" t="s">
        <v>40</v>
      </c>
      <c r="H3" s="60" t="s">
        <v>5</v>
      </c>
      <c r="I3" s="61" t="s">
        <v>128</v>
      </c>
      <c r="J3" s="61" t="s">
        <v>39</v>
      </c>
      <c r="K3" s="61" t="s">
        <v>40</v>
      </c>
      <c r="L3" s="60" t="s">
        <v>5</v>
      </c>
      <c r="M3" s="61" t="s">
        <v>128</v>
      </c>
      <c r="N3" s="61" t="s">
        <v>39</v>
      </c>
      <c r="O3" s="61" t="s">
        <v>40</v>
      </c>
      <c r="P3" s="60" t="s">
        <v>5</v>
      </c>
      <c r="Q3" s="61" t="s">
        <v>128</v>
      </c>
      <c r="R3" s="61" t="s">
        <v>39</v>
      </c>
      <c r="S3" s="62" t="s">
        <v>40</v>
      </c>
      <c r="V3" s="8"/>
      <c r="W3" s="9"/>
      <c r="X3" s="9"/>
      <c r="Y3" s="9"/>
      <c r="Z3" s="9"/>
      <c r="AA3" s="9"/>
      <c r="AB3" s="9"/>
      <c r="AC3" s="9"/>
      <c r="AD3" s="9"/>
      <c r="AE3" s="9"/>
      <c r="AF3" s="10"/>
      <c r="AG3" s="10"/>
    </row>
    <row r="4" spans="1:39" ht="13.35" customHeight="1">
      <c r="A4" s="13"/>
      <c r="B4" s="21" t="s">
        <v>18</v>
      </c>
      <c r="C4" s="21" t="s">
        <v>125</v>
      </c>
      <c r="D4" s="15">
        <v>49443</v>
      </c>
      <c r="E4" s="16">
        <v>0</v>
      </c>
      <c r="F4" s="16">
        <v>2287</v>
      </c>
      <c r="G4" s="16">
        <v>-4761</v>
      </c>
      <c r="H4" s="15">
        <v>55005</v>
      </c>
      <c r="I4" s="16">
        <v>0</v>
      </c>
      <c r="J4" s="16">
        <v>2180</v>
      </c>
      <c r="K4" s="16">
        <v>-5622</v>
      </c>
      <c r="L4" s="15">
        <v>48802</v>
      </c>
      <c r="M4" s="16">
        <v>0</v>
      </c>
      <c r="N4" s="16">
        <v>2362</v>
      </c>
      <c r="O4" s="16">
        <v>-3537</v>
      </c>
      <c r="P4" s="15">
        <v>40520</v>
      </c>
      <c r="Q4" s="16">
        <v>0</v>
      </c>
      <c r="R4" s="16">
        <v>2547</v>
      </c>
      <c r="S4" s="17">
        <v>-2693</v>
      </c>
      <c r="U4" s="73"/>
      <c r="V4" s="22"/>
      <c r="W4" s="23"/>
      <c r="X4" s="24"/>
      <c r="Y4" s="24"/>
      <c r="Z4" s="24"/>
      <c r="AA4" s="24"/>
      <c r="AB4" s="24"/>
      <c r="AC4" s="24"/>
      <c r="AD4" s="24"/>
      <c r="AE4" s="24"/>
      <c r="AF4" s="25"/>
      <c r="AG4" s="26"/>
      <c r="AH4" s="26"/>
    </row>
    <row r="5" spans="1:39" ht="13.35" customHeight="1">
      <c r="A5" s="13"/>
      <c r="B5" s="14" t="s">
        <v>19</v>
      </c>
      <c r="C5" s="14" t="s">
        <v>124</v>
      </c>
      <c r="D5" s="15">
        <v>29699</v>
      </c>
      <c r="E5" s="16">
        <v>741</v>
      </c>
      <c r="F5" s="16">
        <v>242</v>
      </c>
      <c r="G5" s="16">
        <v>-932</v>
      </c>
      <c r="H5" s="15">
        <v>25227</v>
      </c>
      <c r="I5" s="16">
        <v>654</v>
      </c>
      <c r="J5" s="16">
        <v>138</v>
      </c>
      <c r="K5" s="16">
        <v>-810</v>
      </c>
      <c r="L5" s="15">
        <v>21064</v>
      </c>
      <c r="M5" s="16">
        <v>541</v>
      </c>
      <c r="N5" s="16">
        <v>131</v>
      </c>
      <c r="O5" s="16">
        <v>-591</v>
      </c>
      <c r="P5" s="15">
        <v>18543</v>
      </c>
      <c r="Q5" s="16">
        <v>491</v>
      </c>
      <c r="R5" s="16">
        <v>117</v>
      </c>
      <c r="S5" s="17">
        <v>-497</v>
      </c>
      <c r="U5" s="73"/>
      <c r="V5" s="22"/>
      <c r="W5" s="23"/>
      <c r="X5" s="24"/>
      <c r="Y5" s="24"/>
      <c r="Z5" s="24"/>
      <c r="AA5" s="24"/>
      <c r="AB5" s="24"/>
      <c r="AC5" s="24"/>
      <c r="AD5" s="24"/>
      <c r="AE5" s="24"/>
      <c r="AF5" s="25"/>
      <c r="AG5" s="26"/>
      <c r="AH5" s="26"/>
    </row>
    <row r="6" spans="1:39" ht="13.35" customHeight="1">
      <c r="A6" s="13"/>
      <c r="B6" s="14" t="s">
        <v>20</v>
      </c>
      <c r="C6" s="14" t="s">
        <v>123</v>
      </c>
      <c r="D6" s="15">
        <v>24503</v>
      </c>
      <c r="E6" s="16">
        <v>1820</v>
      </c>
      <c r="F6" s="16">
        <v>231</v>
      </c>
      <c r="G6" s="16">
        <v>-511</v>
      </c>
      <c r="H6" s="15">
        <v>22279</v>
      </c>
      <c r="I6" s="16">
        <v>1660</v>
      </c>
      <c r="J6" s="16">
        <v>181</v>
      </c>
      <c r="K6" s="16">
        <v>-680</v>
      </c>
      <c r="L6" s="15">
        <v>19866</v>
      </c>
      <c r="M6" s="16">
        <v>1479</v>
      </c>
      <c r="N6" s="16">
        <v>164</v>
      </c>
      <c r="O6" s="16">
        <v>-368</v>
      </c>
      <c r="P6" s="15">
        <v>18461</v>
      </c>
      <c r="Q6" s="16">
        <v>1370</v>
      </c>
      <c r="R6" s="16">
        <v>185</v>
      </c>
      <c r="S6" s="17">
        <v>-372</v>
      </c>
      <c r="U6" s="73"/>
      <c r="V6" s="22"/>
      <c r="W6" s="23"/>
      <c r="X6" s="24"/>
      <c r="Y6" s="24"/>
      <c r="Z6" s="24"/>
      <c r="AA6" s="24"/>
      <c r="AB6" s="24"/>
      <c r="AC6" s="24"/>
      <c r="AD6" s="24"/>
      <c r="AE6" s="24"/>
      <c r="AF6" s="25"/>
      <c r="AG6" s="26"/>
      <c r="AH6" s="26"/>
    </row>
    <row r="7" spans="1:39" ht="13.35" customHeight="1">
      <c r="A7" s="13"/>
      <c r="B7" s="14" t="s">
        <v>21</v>
      </c>
      <c r="C7" s="14" t="s">
        <v>55</v>
      </c>
      <c r="D7" s="15">
        <v>38445</v>
      </c>
      <c r="E7" s="16">
        <v>5684</v>
      </c>
      <c r="F7" s="16">
        <v>516</v>
      </c>
      <c r="G7" s="16">
        <v>-859</v>
      </c>
      <c r="H7" s="15">
        <v>34996</v>
      </c>
      <c r="I7" s="16">
        <v>5184</v>
      </c>
      <c r="J7" s="16">
        <v>430</v>
      </c>
      <c r="K7" s="16">
        <v>-743</v>
      </c>
      <c r="L7" s="15">
        <v>31795</v>
      </c>
      <c r="M7" s="16">
        <v>4709</v>
      </c>
      <c r="N7" s="16">
        <v>383</v>
      </c>
      <c r="O7" s="16">
        <v>-699</v>
      </c>
      <c r="P7" s="15">
        <v>29003</v>
      </c>
      <c r="Q7" s="16">
        <v>4287</v>
      </c>
      <c r="R7" s="16">
        <v>368</v>
      </c>
      <c r="S7" s="17">
        <v>-475</v>
      </c>
      <c r="U7" s="73"/>
      <c r="X7" s="24"/>
      <c r="Y7" s="24"/>
      <c r="Z7" s="24"/>
      <c r="AA7" s="24"/>
      <c r="AB7" s="24"/>
      <c r="AC7" s="24"/>
      <c r="AD7" s="24"/>
      <c r="AE7" s="24"/>
      <c r="AF7" s="25"/>
      <c r="AG7" s="26"/>
      <c r="AH7" s="26"/>
    </row>
    <row r="8" spans="1:39" ht="13.35" customHeight="1">
      <c r="A8" s="13"/>
      <c r="B8" s="14" t="s">
        <v>22</v>
      </c>
      <c r="C8" s="14" t="s">
        <v>56</v>
      </c>
      <c r="D8" s="15">
        <v>30909</v>
      </c>
      <c r="E8" s="16">
        <v>7689</v>
      </c>
      <c r="F8" s="16">
        <v>736</v>
      </c>
      <c r="G8" s="16">
        <v>-689</v>
      </c>
      <c r="H8" s="15">
        <v>28885</v>
      </c>
      <c r="I8" s="16">
        <v>7193</v>
      </c>
      <c r="J8" s="16">
        <v>505</v>
      </c>
      <c r="K8" s="16">
        <v>-663</v>
      </c>
      <c r="L8" s="15">
        <v>26062</v>
      </c>
      <c r="M8" s="16">
        <v>6493</v>
      </c>
      <c r="N8" s="16">
        <v>528</v>
      </c>
      <c r="O8" s="16">
        <v>-509</v>
      </c>
      <c r="P8" s="15">
        <v>23445</v>
      </c>
      <c r="Q8" s="16">
        <v>5837</v>
      </c>
      <c r="R8" s="16">
        <v>433</v>
      </c>
      <c r="S8" s="17">
        <v>-385</v>
      </c>
      <c r="U8" s="73"/>
      <c r="X8" s="24"/>
      <c r="Y8" s="24"/>
      <c r="Z8" s="24"/>
      <c r="AA8" s="24"/>
      <c r="AB8" s="24"/>
      <c r="AC8" s="24"/>
      <c r="AD8" s="24"/>
      <c r="AE8" s="24"/>
      <c r="AF8" s="25"/>
      <c r="AG8" s="26"/>
      <c r="AH8" s="26"/>
    </row>
    <row r="9" spans="1:39" ht="13.35" customHeight="1">
      <c r="A9" s="13"/>
      <c r="B9" s="14" t="s">
        <v>23</v>
      </c>
      <c r="C9" s="14" t="s">
        <v>31</v>
      </c>
      <c r="D9" s="15">
        <v>49673</v>
      </c>
      <c r="E9" s="16">
        <v>19641</v>
      </c>
      <c r="F9" s="16">
        <v>1287</v>
      </c>
      <c r="G9" s="16">
        <v>-1046</v>
      </c>
      <c r="H9" s="15">
        <v>47314</v>
      </c>
      <c r="I9" s="16">
        <v>18737</v>
      </c>
      <c r="J9" s="16">
        <v>1274</v>
      </c>
      <c r="K9" s="16">
        <v>-951</v>
      </c>
      <c r="L9" s="15">
        <v>41637</v>
      </c>
      <c r="M9" s="16">
        <v>16496</v>
      </c>
      <c r="N9" s="16">
        <v>1088</v>
      </c>
      <c r="O9" s="16">
        <v>-787</v>
      </c>
      <c r="P9" s="15">
        <v>37235</v>
      </c>
      <c r="Q9" s="16">
        <v>14739</v>
      </c>
      <c r="R9" s="16">
        <v>1018</v>
      </c>
      <c r="S9" s="17">
        <v>-613</v>
      </c>
      <c r="U9" s="73"/>
    </row>
    <row r="10" spans="1:39" ht="13.35" customHeight="1">
      <c r="A10" s="13"/>
      <c r="B10" s="28" t="s">
        <v>24</v>
      </c>
      <c r="C10" s="14" t="s">
        <v>79</v>
      </c>
      <c r="D10" s="15">
        <v>37078</v>
      </c>
      <c r="E10" s="16">
        <v>22084</v>
      </c>
      <c r="F10" s="16">
        <v>1411</v>
      </c>
      <c r="G10" s="16">
        <v>-1012</v>
      </c>
      <c r="H10" s="15">
        <v>36210</v>
      </c>
      <c r="I10" s="16">
        <v>21574</v>
      </c>
      <c r="J10" s="16">
        <v>1340</v>
      </c>
      <c r="K10" s="16">
        <v>-810</v>
      </c>
      <c r="L10" s="15">
        <v>32447</v>
      </c>
      <c r="M10" s="16">
        <v>19343</v>
      </c>
      <c r="N10" s="16">
        <v>1187</v>
      </c>
      <c r="O10" s="16">
        <v>-602</v>
      </c>
      <c r="P10" s="15">
        <v>29456</v>
      </c>
      <c r="Q10" s="16">
        <v>17565</v>
      </c>
      <c r="R10" s="16">
        <v>1121</v>
      </c>
      <c r="S10" s="17">
        <v>-497</v>
      </c>
      <c r="U10" s="73"/>
    </row>
    <row r="11" spans="1:39" ht="13.35" customHeight="1">
      <c r="A11" s="13"/>
      <c r="B11" s="28" t="s">
        <v>25</v>
      </c>
      <c r="C11" s="14" t="s">
        <v>80</v>
      </c>
      <c r="D11" s="15">
        <v>40549</v>
      </c>
      <c r="E11" s="16">
        <v>34082</v>
      </c>
      <c r="F11" s="16">
        <v>2014</v>
      </c>
      <c r="G11" s="16">
        <v>-938</v>
      </c>
      <c r="H11" s="15">
        <v>40361</v>
      </c>
      <c r="I11" s="16">
        <v>33962</v>
      </c>
      <c r="J11" s="16">
        <v>1998</v>
      </c>
      <c r="K11" s="16">
        <v>-1052</v>
      </c>
      <c r="L11" s="15">
        <v>37253</v>
      </c>
      <c r="M11" s="16">
        <v>31409</v>
      </c>
      <c r="N11" s="16">
        <v>1851</v>
      </c>
      <c r="O11" s="16">
        <v>-821</v>
      </c>
      <c r="P11" s="15">
        <v>34674</v>
      </c>
      <c r="Q11" s="16">
        <v>29228</v>
      </c>
      <c r="R11" s="16">
        <v>1767</v>
      </c>
      <c r="S11" s="17">
        <v>-593</v>
      </c>
      <c r="U11" s="73"/>
    </row>
    <row r="12" spans="1:39" s="29" customFormat="1" ht="13.35" customHeight="1">
      <c r="A12" s="27"/>
      <c r="B12" s="32" t="s">
        <v>26</v>
      </c>
      <c r="C12" s="28" t="s">
        <v>50</v>
      </c>
      <c r="D12" s="15">
        <v>72241</v>
      </c>
      <c r="E12" s="16">
        <v>103219</v>
      </c>
      <c r="F12" s="16">
        <v>5617</v>
      </c>
      <c r="G12" s="16">
        <v>-1896</v>
      </c>
      <c r="H12" s="15">
        <v>73822</v>
      </c>
      <c r="I12" s="16">
        <v>105655</v>
      </c>
      <c r="J12" s="16">
        <v>5748</v>
      </c>
      <c r="K12" s="16">
        <v>-2603</v>
      </c>
      <c r="L12" s="15">
        <v>70855</v>
      </c>
      <c r="M12" s="16">
        <v>101603</v>
      </c>
      <c r="N12" s="16">
        <v>5579</v>
      </c>
      <c r="O12" s="16">
        <v>-1898</v>
      </c>
      <c r="P12" s="15">
        <v>68502</v>
      </c>
      <c r="Q12" s="16">
        <v>98405</v>
      </c>
      <c r="R12" s="16">
        <v>5806</v>
      </c>
      <c r="S12" s="17">
        <v>-1487</v>
      </c>
      <c r="U12" s="73"/>
    </row>
    <row r="13" spans="1:39" s="29" customFormat="1" ht="13.35" customHeight="1">
      <c r="A13" s="27"/>
      <c r="B13" s="32" t="s">
        <v>27</v>
      </c>
      <c r="C13" s="28" t="s">
        <v>57</v>
      </c>
      <c r="D13" s="15">
        <v>35158</v>
      </c>
      <c r="E13" s="16">
        <v>86180</v>
      </c>
      <c r="F13" s="16">
        <v>4332</v>
      </c>
      <c r="G13" s="16">
        <v>-1721</v>
      </c>
      <c r="H13" s="15">
        <v>36968</v>
      </c>
      <c r="I13" s="16">
        <v>90713</v>
      </c>
      <c r="J13" s="16">
        <v>4533</v>
      </c>
      <c r="K13" s="16">
        <v>-1510</v>
      </c>
      <c r="L13" s="15">
        <v>36145</v>
      </c>
      <c r="M13" s="16">
        <v>88650</v>
      </c>
      <c r="N13" s="16">
        <v>4547</v>
      </c>
      <c r="O13" s="16">
        <v>-1296</v>
      </c>
      <c r="P13" s="15">
        <v>36057</v>
      </c>
      <c r="Q13" s="16">
        <v>88522</v>
      </c>
      <c r="R13" s="16">
        <v>4732</v>
      </c>
      <c r="S13" s="17">
        <v>-1179</v>
      </c>
      <c r="U13" s="73"/>
    </row>
    <row r="14" spans="1:39" s="33" customFormat="1" ht="13.35" customHeight="1">
      <c r="A14" s="31"/>
      <c r="B14" s="32" t="s">
        <v>28</v>
      </c>
      <c r="C14" s="32" t="s">
        <v>58</v>
      </c>
      <c r="D14" s="15">
        <v>35353</v>
      </c>
      <c r="E14" s="16">
        <v>136685</v>
      </c>
      <c r="F14" s="16">
        <v>6302</v>
      </c>
      <c r="G14" s="16">
        <v>-1949</v>
      </c>
      <c r="H14" s="15">
        <v>37658</v>
      </c>
      <c r="I14" s="16">
        <v>145719</v>
      </c>
      <c r="J14" s="16">
        <v>6735</v>
      </c>
      <c r="K14" s="16">
        <v>-2137</v>
      </c>
      <c r="L14" s="15">
        <v>37121</v>
      </c>
      <c r="M14" s="16">
        <v>143878</v>
      </c>
      <c r="N14" s="16">
        <v>6777</v>
      </c>
      <c r="O14" s="16">
        <v>-1862</v>
      </c>
      <c r="P14" s="15">
        <v>37659</v>
      </c>
      <c r="Q14" s="16">
        <v>146251</v>
      </c>
      <c r="R14" s="16">
        <v>7126</v>
      </c>
      <c r="S14" s="17">
        <v>-1899</v>
      </c>
      <c r="U14" s="73"/>
    </row>
    <row r="15" spans="1:39" s="33" customFormat="1" ht="13.35" customHeight="1">
      <c r="A15" s="31"/>
      <c r="B15" s="32" t="s">
        <v>29</v>
      </c>
      <c r="C15" s="32" t="s">
        <v>32</v>
      </c>
      <c r="D15" s="15">
        <v>33797</v>
      </c>
      <c r="E15" s="16">
        <v>237212</v>
      </c>
      <c r="F15" s="16">
        <v>10137</v>
      </c>
      <c r="G15" s="16">
        <v>-2931</v>
      </c>
      <c r="H15" s="15">
        <v>36406</v>
      </c>
      <c r="I15" s="16">
        <v>256306</v>
      </c>
      <c r="J15" s="16">
        <v>10605</v>
      </c>
      <c r="K15" s="16">
        <v>-3569</v>
      </c>
      <c r="L15" s="15">
        <v>35964</v>
      </c>
      <c r="M15" s="16">
        <v>253226</v>
      </c>
      <c r="N15" s="16">
        <v>10613</v>
      </c>
      <c r="O15" s="16">
        <v>-2856</v>
      </c>
      <c r="P15" s="15">
        <v>36493</v>
      </c>
      <c r="Q15" s="16">
        <v>257460</v>
      </c>
      <c r="R15" s="16">
        <v>11189</v>
      </c>
      <c r="S15" s="17">
        <v>-2806</v>
      </c>
      <c r="U15" s="73"/>
    </row>
    <row r="16" spans="1:39" s="33" customFormat="1" ht="13.35" customHeight="1">
      <c r="A16" s="31"/>
      <c r="B16" s="32" t="s">
        <v>30</v>
      </c>
      <c r="C16" s="32" t="s">
        <v>51</v>
      </c>
      <c r="D16" s="15">
        <v>11772</v>
      </c>
      <c r="E16" s="16">
        <v>138938</v>
      </c>
      <c r="F16" s="16">
        <v>5359</v>
      </c>
      <c r="G16" s="16">
        <v>-1505</v>
      </c>
      <c r="H16" s="15">
        <v>12707</v>
      </c>
      <c r="I16" s="16">
        <v>150327</v>
      </c>
      <c r="J16" s="16">
        <v>5772</v>
      </c>
      <c r="K16" s="16">
        <v>-1751</v>
      </c>
      <c r="L16" s="15">
        <v>12490</v>
      </c>
      <c r="M16" s="16">
        <v>147402</v>
      </c>
      <c r="N16" s="16">
        <v>5761</v>
      </c>
      <c r="O16" s="16">
        <v>-1649</v>
      </c>
      <c r="P16" s="15">
        <v>12961</v>
      </c>
      <c r="Q16" s="16">
        <v>153087</v>
      </c>
      <c r="R16" s="16">
        <v>6150</v>
      </c>
      <c r="S16" s="17">
        <v>-1423</v>
      </c>
      <c r="U16" s="73"/>
    </row>
    <row r="17" spans="1:21" s="33" customFormat="1" ht="13.35" customHeight="1">
      <c r="A17" s="31"/>
      <c r="B17" s="32" t="s">
        <v>47</v>
      </c>
      <c r="C17" s="32" t="s">
        <v>52</v>
      </c>
      <c r="D17" s="15">
        <v>9860</v>
      </c>
      <c r="E17" s="16">
        <v>164415</v>
      </c>
      <c r="F17" s="16">
        <v>5963</v>
      </c>
      <c r="G17" s="16">
        <v>-1887</v>
      </c>
      <c r="H17" s="15">
        <v>10699</v>
      </c>
      <c r="I17" s="16">
        <v>178508</v>
      </c>
      <c r="J17" s="16">
        <v>6493</v>
      </c>
      <c r="K17" s="16">
        <v>-2525</v>
      </c>
      <c r="L17" s="15">
        <v>10433</v>
      </c>
      <c r="M17" s="16">
        <v>174108</v>
      </c>
      <c r="N17" s="16">
        <v>6456</v>
      </c>
      <c r="O17" s="16">
        <v>-2193</v>
      </c>
      <c r="P17" s="15">
        <v>10560</v>
      </c>
      <c r="Q17" s="16">
        <v>176467</v>
      </c>
      <c r="R17" s="16">
        <v>6769</v>
      </c>
      <c r="S17" s="17">
        <v>-1857</v>
      </c>
      <c r="U17" s="73"/>
    </row>
    <row r="18" spans="1:21" s="33" customFormat="1" ht="13.35" customHeight="1">
      <c r="A18" s="31"/>
      <c r="B18" s="32" t="s">
        <v>48</v>
      </c>
      <c r="C18" s="32" t="s">
        <v>53</v>
      </c>
      <c r="D18" s="15">
        <v>8392</v>
      </c>
      <c r="E18" s="16">
        <v>204764</v>
      </c>
      <c r="F18" s="16">
        <v>6876</v>
      </c>
      <c r="G18" s="16">
        <v>-2505</v>
      </c>
      <c r="H18" s="15">
        <v>9192</v>
      </c>
      <c r="I18" s="16">
        <v>224401</v>
      </c>
      <c r="J18" s="16">
        <v>7506</v>
      </c>
      <c r="K18" s="16">
        <v>-2582</v>
      </c>
      <c r="L18" s="15">
        <v>9082</v>
      </c>
      <c r="M18" s="16">
        <v>221251</v>
      </c>
      <c r="N18" s="16">
        <v>7691</v>
      </c>
      <c r="O18" s="16">
        <v>-2804</v>
      </c>
      <c r="P18" s="15">
        <v>9291</v>
      </c>
      <c r="Q18" s="16">
        <v>226712</v>
      </c>
      <c r="R18" s="16">
        <v>8103</v>
      </c>
      <c r="S18" s="17">
        <v>-2173</v>
      </c>
      <c r="U18" s="73"/>
    </row>
    <row r="19" spans="1:21" s="33" customFormat="1" ht="13.35" customHeight="1">
      <c r="A19" s="31"/>
      <c r="B19" s="32" t="s">
        <v>49</v>
      </c>
      <c r="C19" s="32" t="s">
        <v>54</v>
      </c>
      <c r="D19" s="15">
        <v>7348</v>
      </c>
      <c r="E19" s="16">
        <v>282503</v>
      </c>
      <c r="F19" s="16">
        <v>9367</v>
      </c>
      <c r="G19" s="16">
        <v>-3518</v>
      </c>
      <c r="H19" s="15">
        <v>8358</v>
      </c>
      <c r="I19" s="16">
        <v>323858</v>
      </c>
      <c r="J19" s="16">
        <v>10289</v>
      </c>
      <c r="K19" s="16">
        <v>-4096</v>
      </c>
      <c r="L19" s="15">
        <v>8256</v>
      </c>
      <c r="M19" s="16">
        <v>318616</v>
      </c>
      <c r="N19" s="16">
        <v>10468</v>
      </c>
      <c r="O19" s="16">
        <v>-4176</v>
      </c>
      <c r="P19" s="15">
        <v>8620</v>
      </c>
      <c r="Q19" s="16">
        <v>332722</v>
      </c>
      <c r="R19" s="16">
        <v>10918</v>
      </c>
      <c r="S19" s="17">
        <v>-3406</v>
      </c>
      <c r="U19" s="73"/>
    </row>
    <row r="20" spans="1:21" s="33" customFormat="1" ht="13.35" customHeight="1">
      <c r="A20" s="31"/>
      <c r="B20" s="32" t="s">
        <v>121</v>
      </c>
      <c r="C20" s="32" t="s">
        <v>126</v>
      </c>
      <c r="D20" s="15">
        <v>5968</v>
      </c>
      <c r="E20" s="16">
        <v>414081</v>
      </c>
      <c r="F20" s="16">
        <v>12959</v>
      </c>
      <c r="G20" s="16">
        <v>-4746</v>
      </c>
      <c r="H20" s="15">
        <v>6935</v>
      </c>
      <c r="I20" s="16">
        <v>483759</v>
      </c>
      <c r="J20" s="16">
        <v>14647</v>
      </c>
      <c r="K20" s="16">
        <v>-6160</v>
      </c>
      <c r="L20" s="15">
        <v>6804</v>
      </c>
      <c r="M20" s="16">
        <v>474799</v>
      </c>
      <c r="N20" s="16">
        <v>15068</v>
      </c>
      <c r="O20" s="16">
        <v>-5813</v>
      </c>
      <c r="P20" s="15">
        <v>7118</v>
      </c>
      <c r="Q20" s="16">
        <v>494941</v>
      </c>
      <c r="R20" s="16">
        <v>15383</v>
      </c>
      <c r="S20" s="17">
        <v>-4918</v>
      </c>
      <c r="U20" s="73"/>
    </row>
    <row r="21" spans="1:21" s="33" customFormat="1" ht="13.35" customHeight="1">
      <c r="A21" s="31"/>
      <c r="B21" s="32" t="s">
        <v>122</v>
      </c>
      <c r="C21" s="32" t="s">
        <v>127</v>
      </c>
      <c r="D21" s="15">
        <v>6383</v>
      </c>
      <c r="E21" s="16">
        <v>5043515</v>
      </c>
      <c r="F21" s="16">
        <v>96582</v>
      </c>
      <c r="G21" s="16">
        <v>-65325</v>
      </c>
      <c r="H21" s="15">
        <v>7320</v>
      </c>
      <c r="I21" s="16">
        <v>5793678</v>
      </c>
      <c r="J21" s="16">
        <v>107627</v>
      </c>
      <c r="K21" s="16">
        <v>-89550</v>
      </c>
      <c r="L21" s="15">
        <v>7007</v>
      </c>
      <c r="M21" s="16">
        <v>5089039</v>
      </c>
      <c r="N21" s="16">
        <v>114919</v>
      </c>
      <c r="O21" s="16">
        <v>-82714</v>
      </c>
      <c r="P21" s="15">
        <v>7452</v>
      </c>
      <c r="Q21" s="16">
        <v>5519087</v>
      </c>
      <c r="R21" s="16">
        <v>121747</v>
      </c>
      <c r="S21" s="17">
        <v>-75865</v>
      </c>
      <c r="U21" s="73"/>
    </row>
    <row r="22" spans="1:21" s="29" customFormat="1" ht="13.35" customHeight="1">
      <c r="A22" s="83"/>
      <c r="B22" s="84" t="s">
        <v>0</v>
      </c>
      <c r="C22" s="85"/>
      <c r="D22" s="86">
        <f t="shared" ref="D22:S22" si="0">SUM(D4:D21)</f>
        <v>526571</v>
      </c>
      <c r="E22" s="87">
        <f t="shared" si="0"/>
        <v>6903253</v>
      </c>
      <c r="F22" s="87">
        <f t="shared" si="0"/>
        <v>172218</v>
      </c>
      <c r="G22" s="87">
        <f t="shared" si="0"/>
        <v>-98731</v>
      </c>
      <c r="H22" s="86">
        <f t="shared" si="0"/>
        <v>530342</v>
      </c>
      <c r="I22" s="87">
        <f t="shared" si="0"/>
        <v>7841888</v>
      </c>
      <c r="J22" s="87">
        <f t="shared" si="0"/>
        <v>188001</v>
      </c>
      <c r="K22" s="87">
        <f t="shared" si="0"/>
        <v>-127814</v>
      </c>
      <c r="L22" s="86">
        <f t="shared" si="0"/>
        <v>493083</v>
      </c>
      <c r="M22" s="87">
        <f t="shared" si="0"/>
        <v>7093042</v>
      </c>
      <c r="N22" s="87">
        <f t="shared" si="0"/>
        <v>195573</v>
      </c>
      <c r="O22" s="87">
        <f t="shared" si="0"/>
        <v>-115175</v>
      </c>
      <c r="P22" s="86">
        <f t="shared" si="0"/>
        <v>466050</v>
      </c>
      <c r="Q22" s="87">
        <f t="shared" si="0"/>
        <v>7567171</v>
      </c>
      <c r="R22" s="87">
        <f t="shared" si="0"/>
        <v>205479</v>
      </c>
      <c r="S22" s="88">
        <f t="shared" si="0"/>
        <v>-103138</v>
      </c>
    </row>
    <row r="23" spans="1:21" s="29" customFormat="1" ht="13.35" customHeight="1">
      <c r="A23" s="108"/>
      <c r="B23" s="244" t="s">
        <v>43</v>
      </c>
      <c r="C23" s="239"/>
      <c r="D23" s="109"/>
      <c r="E23" s="110"/>
      <c r="F23" s="110"/>
      <c r="G23" s="110"/>
      <c r="H23" s="109"/>
      <c r="I23" s="110"/>
      <c r="J23" s="110"/>
      <c r="K23" s="110"/>
      <c r="L23" s="109"/>
      <c r="M23" s="110"/>
      <c r="N23" s="110"/>
      <c r="O23" s="110"/>
      <c r="P23" s="109"/>
      <c r="Q23" s="110"/>
      <c r="R23" s="110"/>
      <c r="S23" s="111"/>
    </row>
    <row r="24" spans="1:21" s="29" customFormat="1" ht="13.35" customHeight="1">
      <c r="A24" s="13"/>
      <c r="B24" s="21" t="s">
        <v>18</v>
      </c>
      <c r="C24" s="21" t="s">
        <v>125</v>
      </c>
      <c r="D24" s="95">
        <f t="shared" ref="D24:S24" si="1">D4/D$22</f>
        <v>9.3896169747289537E-2</v>
      </c>
      <c r="E24" s="96">
        <f t="shared" si="1"/>
        <v>0</v>
      </c>
      <c r="F24" s="96">
        <f t="shared" si="1"/>
        <v>1.3279680405067995E-2</v>
      </c>
      <c r="G24" s="96">
        <f t="shared" si="1"/>
        <v>4.8221936372567886E-2</v>
      </c>
      <c r="H24" s="95">
        <f t="shared" si="1"/>
        <v>0.10371609263456411</v>
      </c>
      <c r="I24" s="96">
        <f t="shared" si="1"/>
        <v>0</v>
      </c>
      <c r="J24" s="96">
        <f t="shared" si="1"/>
        <v>1.1595683001686161E-2</v>
      </c>
      <c r="K24" s="96">
        <f t="shared" si="1"/>
        <v>4.3985791853787537E-2</v>
      </c>
      <c r="L24" s="95">
        <f t="shared" si="1"/>
        <v>9.8973195182149865E-2</v>
      </c>
      <c r="M24" s="96">
        <f t="shared" si="1"/>
        <v>0</v>
      </c>
      <c r="N24" s="96">
        <f t="shared" si="1"/>
        <v>1.2077331738021098E-2</v>
      </c>
      <c r="O24" s="96">
        <f t="shared" si="1"/>
        <v>3.0709789450835686E-2</v>
      </c>
      <c r="P24" s="95">
        <f t="shared" si="1"/>
        <v>8.6943461002038411E-2</v>
      </c>
      <c r="Q24" s="96">
        <f t="shared" si="1"/>
        <v>0</v>
      </c>
      <c r="R24" s="96">
        <f t="shared" si="1"/>
        <v>1.2395427269939994E-2</v>
      </c>
      <c r="S24" s="97">
        <f t="shared" si="1"/>
        <v>2.6110647869844288E-2</v>
      </c>
    </row>
    <row r="25" spans="1:21" s="29" customFormat="1" ht="13.35" customHeight="1">
      <c r="A25" s="13"/>
      <c r="B25" s="14" t="s">
        <v>19</v>
      </c>
      <c r="C25" s="14" t="s">
        <v>124</v>
      </c>
      <c r="D25" s="95">
        <f t="shared" ref="D25:S25" si="2">D5/D$22</f>
        <v>5.6400751275706408E-2</v>
      </c>
      <c r="E25" s="96">
        <f t="shared" si="2"/>
        <v>1.0734069865322914E-4</v>
      </c>
      <c r="F25" s="96">
        <f t="shared" si="2"/>
        <v>1.405195740282665E-3</v>
      </c>
      <c r="G25" s="96">
        <f t="shared" si="2"/>
        <v>9.4397909471189388E-3</v>
      </c>
      <c r="H25" s="95">
        <f t="shared" si="2"/>
        <v>4.7567418759969983E-2</v>
      </c>
      <c r="I25" s="96">
        <f t="shared" si="2"/>
        <v>8.3398283678624336E-5</v>
      </c>
      <c r="J25" s="96">
        <f t="shared" si="2"/>
        <v>7.3403864873059182E-4</v>
      </c>
      <c r="K25" s="96">
        <f t="shared" si="2"/>
        <v>6.3373339383792074E-3</v>
      </c>
      <c r="L25" s="95">
        <f t="shared" si="2"/>
        <v>4.2718974290332459E-2</v>
      </c>
      <c r="M25" s="96">
        <f t="shared" si="2"/>
        <v>7.6271929589589348E-5</v>
      </c>
      <c r="N25" s="96">
        <f t="shared" si="2"/>
        <v>6.6982661205790164E-4</v>
      </c>
      <c r="O25" s="96">
        <f t="shared" si="2"/>
        <v>5.1313219014543091E-3</v>
      </c>
      <c r="P25" s="95">
        <f t="shared" si="2"/>
        <v>3.9787576440296103E-2</v>
      </c>
      <c r="Q25" s="96">
        <f t="shared" si="2"/>
        <v>6.4885543091334924E-5</v>
      </c>
      <c r="R25" s="96">
        <f t="shared" si="2"/>
        <v>5.6940125268275588E-4</v>
      </c>
      <c r="S25" s="97">
        <f t="shared" si="2"/>
        <v>4.8187864802497621E-3</v>
      </c>
    </row>
    <row r="26" spans="1:21" s="29" customFormat="1" ht="13.35" customHeight="1">
      <c r="A26" s="13"/>
      <c r="B26" s="14" t="s">
        <v>20</v>
      </c>
      <c r="C26" s="14" t="s">
        <v>123</v>
      </c>
      <c r="D26" s="95">
        <f t="shared" ref="D26:S26" si="3">D6/D$22</f>
        <v>4.6533136082313686E-2</v>
      </c>
      <c r="E26" s="96">
        <f t="shared" si="3"/>
        <v>2.6364382125354524E-4</v>
      </c>
      <c r="F26" s="96">
        <f t="shared" si="3"/>
        <v>1.3413232066334529E-3</v>
      </c>
      <c r="G26" s="96">
        <f t="shared" si="3"/>
        <v>5.1756793712207918E-3</v>
      </c>
      <c r="H26" s="95">
        <f t="shared" si="3"/>
        <v>4.2008741529051062E-2</v>
      </c>
      <c r="I26" s="96">
        <f t="shared" si="3"/>
        <v>2.1168371698244097E-4</v>
      </c>
      <c r="J26" s="96">
        <f t="shared" si="3"/>
        <v>9.6276083637852991E-4</v>
      </c>
      <c r="K26" s="96">
        <f t="shared" si="3"/>
        <v>5.320230960614643E-3</v>
      </c>
      <c r="L26" s="95">
        <f t="shared" si="3"/>
        <v>4.0289363048411728E-2</v>
      </c>
      <c r="M26" s="96">
        <f t="shared" si="3"/>
        <v>2.0851420307394205E-4</v>
      </c>
      <c r="N26" s="96">
        <f t="shared" si="3"/>
        <v>8.3856156013355622E-4</v>
      </c>
      <c r="O26" s="96">
        <f t="shared" si="3"/>
        <v>3.1951378337312787E-3</v>
      </c>
      <c r="P26" s="95">
        <f t="shared" si="3"/>
        <v>3.9611629653470655E-2</v>
      </c>
      <c r="Q26" s="96">
        <f t="shared" si="3"/>
        <v>1.8104520170087341E-4</v>
      </c>
      <c r="R26" s="96">
        <f t="shared" si="3"/>
        <v>9.0033531407102433E-4</v>
      </c>
      <c r="S26" s="97">
        <f t="shared" si="3"/>
        <v>3.6068180496034441E-3</v>
      </c>
    </row>
    <row r="27" spans="1:21" s="29" customFormat="1" ht="13.35" customHeight="1">
      <c r="A27" s="13"/>
      <c r="B27" s="14" t="s">
        <v>21</v>
      </c>
      <c r="C27" s="14" t="s">
        <v>55</v>
      </c>
      <c r="D27" s="95">
        <f t="shared" ref="D27:S27" si="4">D7/D$22</f>
        <v>7.3010097403768917E-2</v>
      </c>
      <c r="E27" s="96">
        <f t="shared" si="4"/>
        <v>8.2337993406876434E-4</v>
      </c>
      <c r="F27" s="96">
        <f t="shared" si="4"/>
        <v>2.9962024875448559E-3</v>
      </c>
      <c r="G27" s="96">
        <f t="shared" si="4"/>
        <v>8.7004081798016837E-3</v>
      </c>
      <c r="H27" s="95">
        <f t="shared" si="4"/>
        <v>6.598760799634952E-2</v>
      </c>
      <c r="I27" s="96">
        <f t="shared" si="4"/>
        <v>6.6106529448010476E-4</v>
      </c>
      <c r="J27" s="96">
        <f t="shared" si="4"/>
        <v>2.2872218764793803E-3</v>
      </c>
      <c r="K27" s="96">
        <f t="shared" si="4"/>
        <v>5.8131347113774701E-3</v>
      </c>
      <c r="L27" s="95">
        <f t="shared" si="4"/>
        <v>6.4482044605066485E-2</v>
      </c>
      <c r="M27" s="96">
        <f t="shared" si="4"/>
        <v>6.6389004886760852E-4</v>
      </c>
      <c r="N27" s="96">
        <f t="shared" si="4"/>
        <v>1.9583480337265367E-3</v>
      </c>
      <c r="O27" s="96">
        <f t="shared" si="4"/>
        <v>6.0690253961363143E-3</v>
      </c>
      <c r="P27" s="95">
        <f t="shared" si="4"/>
        <v>6.2231520223152023E-2</v>
      </c>
      <c r="Q27" s="96">
        <f t="shared" si="4"/>
        <v>5.66526116563244E-4</v>
      </c>
      <c r="R27" s="96">
        <f t="shared" si="4"/>
        <v>1.7909372733953348E-3</v>
      </c>
      <c r="S27" s="97">
        <f t="shared" si="4"/>
        <v>4.6054800364560104E-3</v>
      </c>
    </row>
    <row r="28" spans="1:21" s="29" customFormat="1" ht="13.35" customHeight="1">
      <c r="A28" s="13"/>
      <c r="B28" s="14" t="s">
        <v>22</v>
      </c>
      <c r="C28" s="14" t="s">
        <v>56</v>
      </c>
      <c r="D28" s="95">
        <f t="shared" ref="D28:S28" si="5">D8/D$22</f>
        <v>5.8698637030903715E-2</v>
      </c>
      <c r="E28" s="96">
        <f t="shared" si="5"/>
        <v>1.1138227151750051E-3</v>
      </c>
      <c r="F28" s="96">
        <f t="shared" si="5"/>
        <v>4.2736531605290966E-3</v>
      </c>
      <c r="G28" s="96">
        <f t="shared" si="5"/>
        <v>6.9785578997477995E-3</v>
      </c>
      <c r="H28" s="95">
        <f t="shared" si="5"/>
        <v>5.4464854754102072E-2</v>
      </c>
      <c r="I28" s="96">
        <f t="shared" si="5"/>
        <v>9.1725360015343241E-4</v>
      </c>
      <c r="J28" s="96">
        <f t="shared" si="5"/>
        <v>2.6861559247025281E-3</v>
      </c>
      <c r="K28" s="96">
        <f t="shared" si="5"/>
        <v>5.187225186599277E-3</v>
      </c>
      <c r="L28" s="95">
        <f t="shared" si="5"/>
        <v>5.2855198820482556E-2</v>
      </c>
      <c r="M28" s="96">
        <f t="shared" si="5"/>
        <v>9.1540413830906405E-4</v>
      </c>
      <c r="N28" s="96">
        <f t="shared" si="5"/>
        <v>2.6997591692104737E-3</v>
      </c>
      <c r="O28" s="96">
        <f t="shared" si="5"/>
        <v>4.4193618406772302E-3</v>
      </c>
      <c r="P28" s="95">
        <f t="shared" si="5"/>
        <v>5.0305761184422274E-2</v>
      </c>
      <c r="Q28" s="96">
        <f t="shared" si="5"/>
        <v>7.7135827907153149E-4</v>
      </c>
      <c r="R28" s="96">
        <f t="shared" si="5"/>
        <v>2.1072713026635327E-3</v>
      </c>
      <c r="S28" s="97">
        <f t="shared" si="5"/>
        <v>3.732862766390661E-3</v>
      </c>
    </row>
    <row r="29" spans="1:21" s="29" customFormat="1" ht="13.35" customHeight="1">
      <c r="A29" s="13"/>
      <c r="B29" s="14" t="s">
        <v>23</v>
      </c>
      <c r="C29" s="14" t="s">
        <v>31</v>
      </c>
      <c r="D29" s="95">
        <f t="shared" ref="D29:S29" si="6">D9/D$22</f>
        <v>9.4332957948690677E-2</v>
      </c>
      <c r="E29" s="96">
        <f t="shared" si="6"/>
        <v>2.8451803809015838E-3</v>
      </c>
      <c r="F29" s="96">
        <f t="shared" si="6"/>
        <v>7.4730864369578097E-3</v>
      </c>
      <c r="G29" s="96">
        <f t="shared" si="6"/>
        <v>1.0594443487860955E-2</v>
      </c>
      <c r="H29" s="95">
        <f t="shared" si="6"/>
        <v>8.921412975023664E-2</v>
      </c>
      <c r="I29" s="96">
        <f t="shared" si="6"/>
        <v>2.3893480753614436E-3</v>
      </c>
      <c r="J29" s="96">
        <f t="shared" si="6"/>
        <v>6.7765596991505367E-3</v>
      </c>
      <c r="K29" s="96">
        <f t="shared" si="6"/>
        <v>7.4404994758007726E-3</v>
      </c>
      <c r="L29" s="95">
        <f t="shared" si="6"/>
        <v>8.4442173021580552E-2</v>
      </c>
      <c r="M29" s="96">
        <f t="shared" si="6"/>
        <v>2.3256594279295116E-3</v>
      </c>
      <c r="N29" s="96">
        <f t="shared" si="6"/>
        <v>5.5631401062518852E-3</v>
      </c>
      <c r="O29" s="96">
        <f t="shared" si="6"/>
        <v>6.8330800955068377E-3</v>
      </c>
      <c r="P29" s="95">
        <f t="shared" si="6"/>
        <v>7.9894861066409181E-2</v>
      </c>
      <c r="Q29" s="96">
        <f t="shared" si="6"/>
        <v>1.9477556407804185E-3</v>
      </c>
      <c r="R29" s="96">
        <f t="shared" si="6"/>
        <v>4.9542775660773117E-3</v>
      </c>
      <c r="S29" s="97">
        <f t="shared" si="6"/>
        <v>5.9434931838895462E-3</v>
      </c>
    </row>
    <row r="30" spans="1:21" s="29" customFormat="1" ht="13.35" customHeight="1">
      <c r="A30" s="13"/>
      <c r="B30" s="28" t="s">
        <v>24</v>
      </c>
      <c r="C30" s="14" t="s">
        <v>79</v>
      </c>
      <c r="D30" s="95">
        <f t="shared" ref="D30:S30" si="7">D10/D$22</f>
        <v>7.041405622413692E-2</v>
      </c>
      <c r="E30" s="96">
        <f t="shared" si="7"/>
        <v>3.1990715101996117E-3</v>
      </c>
      <c r="F30" s="96">
        <f t="shared" si="7"/>
        <v>8.1931040890034727E-3</v>
      </c>
      <c r="G30" s="96">
        <f t="shared" si="7"/>
        <v>1.0250073431850179E-2</v>
      </c>
      <c r="H30" s="95">
        <f t="shared" si="7"/>
        <v>6.8276696923871769E-2</v>
      </c>
      <c r="I30" s="96">
        <f t="shared" si="7"/>
        <v>2.7511231989031213E-3</v>
      </c>
      <c r="J30" s="96">
        <f t="shared" si="7"/>
        <v>7.1276216615869066E-3</v>
      </c>
      <c r="K30" s="96">
        <f t="shared" si="7"/>
        <v>6.3373339383792074E-3</v>
      </c>
      <c r="L30" s="95">
        <f t="shared" si="7"/>
        <v>6.5804337200836366E-2</v>
      </c>
      <c r="M30" s="96">
        <f t="shared" si="7"/>
        <v>2.7270386951043007E-3</v>
      </c>
      <c r="N30" s="96">
        <f t="shared" si="7"/>
        <v>6.0693449504788492E-3</v>
      </c>
      <c r="O30" s="96">
        <f t="shared" si="7"/>
        <v>5.2268287388756241E-3</v>
      </c>
      <c r="P30" s="95">
        <f t="shared" si="7"/>
        <v>6.3203518935736502E-2</v>
      </c>
      <c r="Q30" s="96">
        <f t="shared" si="7"/>
        <v>2.3212109254568186E-3</v>
      </c>
      <c r="R30" s="96">
        <f t="shared" si="7"/>
        <v>5.4555453355330718E-3</v>
      </c>
      <c r="S30" s="97">
        <f t="shared" si="7"/>
        <v>4.8187864802497621E-3</v>
      </c>
    </row>
    <row r="31" spans="1:21" s="29" customFormat="1" ht="13.35" customHeight="1">
      <c r="A31" s="13"/>
      <c r="B31" s="28" t="s">
        <v>25</v>
      </c>
      <c r="C31" s="14" t="s">
        <v>80</v>
      </c>
      <c r="D31" s="95">
        <f t="shared" ref="D31:S31" si="8">D11/D$22</f>
        <v>7.700575990702109E-2</v>
      </c>
      <c r="E31" s="96">
        <f t="shared" si="8"/>
        <v>4.937092701078752E-3</v>
      </c>
      <c r="F31" s="96">
        <f t="shared" si="8"/>
        <v>1.1694480251773914E-2</v>
      </c>
      <c r="G31" s="96">
        <f t="shared" si="8"/>
        <v>9.500562133473783E-3</v>
      </c>
      <c r="H31" s="95">
        <f t="shared" si="8"/>
        <v>7.6103721749361739E-2</v>
      </c>
      <c r="I31" s="96">
        <f t="shared" si="8"/>
        <v>4.330844816962446E-3</v>
      </c>
      <c r="J31" s="96">
        <f t="shared" si="8"/>
        <v>1.0627603044664657E-2</v>
      </c>
      <c r="K31" s="96">
        <f t="shared" si="8"/>
        <v>8.2307102508332418E-3</v>
      </c>
      <c r="L31" s="95">
        <f t="shared" si="8"/>
        <v>7.555117495431804E-2</v>
      </c>
      <c r="M31" s="96">
        <f t="shared" si="8"/>
        <v>4.4281423964499297E-3</v>
      </c>
      <c r="N31" s="96">
        <f t="shared" si="8"/>
        <v>9.4644966329708088E-3</v>
      </c>
      <c r="O31" s="96">
        <f t="shared" si="8"/>
        <v>7.1282830475363577E-3</v>
      </c>
      <c r="P31" s="95">
        <f t="shared" si="8"/>
        <v>7.4399742516897335E-2</v>
      </c>
      <c r="Q31" s="96">
        <f t="shared" si="8"/>
        <v>3.8624738359949841E-3</v>
      </c>
      <c r="R31" s="96">
        <f t="shared" si="8"/>
        <v>8.5994189187216206E-3</v>
      </c>
      <c r="S31" s="97">
        <f t="shared" si="8"/>
        <v>5.7495782349861347E-3</v>
      </c>
    </row>
    <row r="32" spans="1:21" s="29" customFormat="1" ht="13.35" customHeight="1">
      <c r="A32" s="27"/>
      <c r="B32" s="32" t="s">
        <v>26</v>
      </c>
      <c r="C32" s="28" t="s">
        <v>50</v>
      </c>
      <c r="D32" s="95">
        <f t="shared" ref="D32:S32" si="9">D12/D$22</f>
        <v>0.1371913759018252</v>
      </c>
      <c r="E32" s="96">
        <f t="shared" si="9"/>
        <v>1.495222614613719E-2</v>
      </c>
      <c r="F32" s="96">
        <f t="shared" si="9"/>
        <v>3.2615638318874915E-2</v>
      </c>
      <c r="G32" s="96">
        <f t="shared" si="9"/>
        <v>1.9203694888130375E-2</v>
      </c>
      <c r="H32" s="95">
        <f t="shared" si="9"/>
        <v>0.13919697101115883</v>
      </c>
      <c r="I32" s="96">
        <f t="shared" si="9"/>
        <v>1.3473158504686627E-2</v>
      </c>
      <c r="J32" s="96">
        <f t="shared" si="9"/>
        <v>3.0574305455822043E-2</v>
      </c>
      <c r="K32" s="96">
        <f t="shared" si="9"/>
        <v>2.0365531162470463E-2</v>
      </c>
      <c r="L32" s="95">
        <f t="shared" si="9"/>
        <v>0.14369791698355044</v>
      </c>
      <c r="M32" s="96">
        <f t="shared" si="9"/>
        <v>1.4324319523273654E-2</v>
      </c>
      <c r="N32" s="96">
        <f t="shared" si="9"/>
        <v>2.8526432585275062E-2</v>
      </c>
      <c r="O32" s="96">
        <f t="shared" si="9"/>
        <v>1.6479270675059693E-2</v>
      </c>
      <c r="P32" s="95">
        <f t="shared" si="9"/>
        <v>0.14698422915996137</v>
      </c>
      <c r="Q32" s="96">
        <f t="shared" si="9"/>
        <v>1.3004199323630984E-2</v>
      </c>
      <c r="R32" s="96">
        <f t="shared" si="9"/>
        <v>2.8255928829710092E-2</v>
      </c>
      <c r="S32" s="97">
        <f t="shared" si="9"/>
        <v>1.4417576450968606E-2</v>
      </c>
    </row>
    <row r="33" spans="1:19" s="29" customFormat="1" ht="13.35" customHeight="1">
      <c r="A33" s="27"/>
      <c r="B33" s="32" t="s">
        <v>27</v>
      </c>
      <c r="C33" s="28" t="s">
        <v>57</v>
      </c>
      <c r="D33" s="95">
        <f t="shared" ref="D33:S33" si="10">D13/D$22</f>
        <v>6.6767824282005658E-2</v>
      </c>
      <c r="E33" s="96">
        <f t="shared" si="10"/>
        <v>1.2483969514082708E-2</v>
      </c>
      <c r="F33" s="96">
        <f t="shared" si="10"/>
        <v>2.5154165069853327E-2</v>
      </c>
      <c r="G33" s="96">
        <f t="shared" si="10"/>
        <v>1.7431201952780789E-2</v>
      </c>
      <c r="H33" s="95">
        <f t="shared" si="10"/>
        <v>6.9705963321781042E-2</v>
      </c>
      <c r="I33" s="96">
        <f t="shared" si="10"/>
        <v>1.1567750011221787E-2</v>
      </c>
      <c r="J33" s="96">
        <f t="shared" si="10"/>
        <v>2.4111573874607051E-2</v>
      </c>
      <c r="K33" s="96">
        <f t="shared" si="10"/>
        <v>1.1814042280188399E-2</v>
      </c>
      <c r="L33" s="95">
        <f t="shared" si="10"/>
        <v>7.3304088763960634E-2</v>
      </c>
      <c r="M33" s="96">
        <f t="shared" si="10"/>
        <v>1.2498163693377256E-2</v>
      </c>
      <c r="N33" s="96">
        <f t="shared" si="10"/>
        <v>2.3249630572727321E-2</v>
      </c>
      <c r="O33" s="96">
        <f t="shared" si="10"/>
        <v>1.1252441936184068E-2</v>
      </c>
      <c r="P33" s="95">
        <f t="shared" si="10"/>
        <v>7.7367235275185062E-2</v>
      </c>
      <c r="Q33" s="96">
        <f t="shared" si="10"/>
        <v>1.1698163025521692E-2</v>
      </c>
      <c r="R33" s="96">
        <f t="shared" si="10"/>
        <v>2.3029117330724793E-2</v>
      </c>
      <c r="S33" s="97">
        <f t="shared" si="10"/>
        <v>1.1431286237856076E-2</v>
      </c>
    </row>
    <row r="34" spans="1:19" s="29" customFormat="1" ht="13.35" customHeight="1">
      <c r="A34" s="27"/>
      <c r="B34" s="32" t="s">
        <v>28</v>
      </c>
      <c r="C34" s="32" t="s">
        <v>58</v>
      </c>
      <c r="D34" s="95">
        <f t="shared" ref="D34:S34" si="11">D14/D$22</f>
        <v>6.7138144713628362E-2</v>
      </c>
      <c r="E34" s="96">
        <f t="shared" si="11"/>
        <v>1.9800085553868588E-2</v>
      </c>
      <c r="F34" s="96">
        <f t="shared" si="11"/>
        <v>3.6593155187030393E-2</v>
      </c>
      <c r="G34" s="96">
        <f t="shared" si="11"/>
        <v>1.9740507034264821E-2</v>
      </c>
      <c r="H34" s="95">
        <f t="shared" si="11"/>
        <v>7.1007010570537502E-2</v>
      </c>
      <c r="I34" s="96">
        <f t="shared" si="11"/>
        <v>1.8582132262026697E-2</v>
      </c>
      <c r="J34" s="96">
        <f t="shared" si="11"/>
        <v>3.5824277530438667E-2</v>
      </c>
      <c r="K34" s="96">
        <f t="shared" si="11"/>
        <v>1.6719608180637488E-2</v>
      </c>
      <c r="L34" s="95">
        <f t="shared" si="11"/>
        <v>7.5283471545358485E-2</v>
      </c>
      <c r="M34" s="96">
        <f t="shared" si="11"/>
        <v>2.0284385740278993E-2</v>
      </c>
      <c r="N34" s="96">
        <f t="shared" si="11"/>
        <v>3.4652022518445798E-2</v>
      </c>
      <c r="O34" s="96">
        <f t="shared" si="11"/>
        <v>1.6166702843499022E-2</v>
      </c>
      <c r="P34" s="95">
        <f t="shared" si="11"/>
        <v>8.0804634695848088E-2</v>
      </c>
      <c r="Q34" s="96">
        <f t="shared" si="11"/>
        <v>1.932703780580616E-2</v>
      </c>
      <c r="R34" s="96">
        <f t="shared" si="11"/>
        <v>3.4679942962541184E-2</v>
      </c>
      <c r="S34" s="97">
        <f t="shared" si="11"/>
        <v>1.8412224398378869E-2</v>
      </c>
    </row>
    <row r="35" spans="1:19" s="29" customFormat="1" ht="13.35" customHeight="1">
      <c r="A35" s="27"/>
      <c r="B35" s="32" t="s">
        <v>29</v>
      </c>
      <c r="C35" s="32" t="s">
        <v>32</v>
      </c>
      <c r="D35" s="95">
        <f t="shared" ref="D35:S35" si="12">D15/D$22</f>
        <v>6.4183177577192815E-2</v>
      </c>
      <c r="E35" s="96">
        <f t="shared" si="12"/>
        <v>3.4362350619338448E-2</v>
      </c>
      <c r="F35" s="96">
        <f t="shared" si="12"/>
        <v>5.8861443054732954E-2</v>
      </c>
      <c r="G35" s="96">
        <f t="shared" si="12"/>
        <v>2.9686724534340785E-2</v>
      </c>
      <c r="H35" s="95">
        <f t="shared" si="12"/>
        <v>6.864626976554751E-2</v>
      </c>
      <c r="I35" s="96">
        <f t="shared" si="12"/>
        <v>3.2684220942711756E-2</v>
      </c>
      <c r="J35" s="96">
        <f t="shared" si="12"/>
        <v>5.640927441875309E-2</v>
      </c>
      <c r="K35" s="96">
        <f t="shared" si="12"/>
        <v>2.792338867416715E-2</v>
      </c>
      <c r="L35" s="95">
        <f t="shared" si="12"/>
        <v>7.2937010604705491E-2</v>
      </c>
      <c r="M35" s="96">
        <f t="shared" si="12"/>
        <v>3.5700620410819506E-2</v>
      </c>
      <c r="N35" s="96">
        <f t="shared" si="12"/>
        <v>5.426618193717947E-2</v>
      </c>
      <c r="O35" s="96">
        <f t="shared" si="12"/>
        <v>2.4797047970479706E-2</v>
      </c>
      <c r="P35" s="95">
        <f t="shared" si="12"/>
        <v>7.8302757214891106E-2</v>
      </c>
      <c r="Q35" s="96">
        <f t="shared" si="12"/>
        <v>3.4023282941537863E-2</v>
      </c>
      <c r="R35" s="96">
        <f t="shared" si="12"/>
        <v>5.4453253130490223E-2</v>
      </c>
      <c r="S35" s="97">
        <f t="shared" si="12"/>
        <v>2.7206267331148559E-2</v>
      </c>
    </row>
    <row r="36" spans="1:19" s="29" customFormat="1" ht="13.35" customHeight="1">
      <c r="A36" s="27"/>
      <c r="B36" s="32" t="s">
        <v>30</v>
      </c>
      <c r="C36" s="32" t="s">
        <v>51</v>
      </c>
      <c r="D36" s="95">
        <f t="shared" ref="D36:S36" si="13">D16/D$22</f>
        <v>2.2355959595192293E-2</v>
      </c>
      <c r="E36" s="96">
        <f t="shared" si="13"/>
        <v>2.0126453427101686E-2</v>
      </c>
      <c r="F36" s="96">
        <f t="shared" si="13"/>
        <v>3.1117537075102487E-2</v>
      </c>
      <c r="G36" s="96">
        <f t="shared" si="13"/>
        <v>1.5243439244006441E-2</v>
      </c>
      <c r="H36" s="95">
        <f t="shared" si="13"/>
        <v>2.3960010710070107E-2</v>
      </c>
      <c r="I36" s="96">
        <f t="shared" si="13"/>
        <v>1.9169745857120123E-2</v>
      </c>
      <c r="J36" s="96">
        <f t="shared" si="13"/>
        <v>3.0701964351253452E-2</v>
      </c>
      <c r="K36" s="96">
        <f t="shared" si="13"/>
        <v>1.3699594723582707E-2</v>
      </c>
      <c r="L36" s="95">
        <f t="shared" si="13"/>
        <v>2.5330421044732834E-2</v>
      </c>
      <c r="M36" s="96">
        <f t="shared" si="13"/>
        <v>2.0781210656866264E-2</v>
      </c>
      <c r="N36" s="96">
        <f t="shared" si="13"/>
        <v>2.9457031389813523E-2</v>
      </c>
      <c r="O36" s="96">
        <f t="shared" si="13"/>
        <v>1.4317343173431734E-2</v>
      </c>
      <c r="P36" s="95">
        <f t="shared" si="13"/>
        <v>2.7810320781032079E-2</v>
      </c>
      <c r="Q36" s="96">
        <f t="shared" si="13"/>
        <v>2.0230413717358838E-2</v>
      </c>
      <c r="R36" s="96">
        <f t="shared" si="13"/>
        <v>2.9930065846144861E-2</v>
      </c>
      <c r="S36" s="97">
        <f t="shared" si="13"/>
        <v>1.379704861447769E-2</v>
      </c>
    </row>
    <row r="37" spans="1:19" s="29" customFormat="1" ht="13.35" customHeight="1">
      <c r="A37" s="27"/>
      <c r="B37" s="32" t="s">
        <v>47</v>
      </c>
      <c r="C37" s="32" t="s">
        <v>52</v>
      </c>
      <c r="D37" s="95">
        <f t="shared" ref="D37:S37" si="14">D17/D$22</f>
        <v>1.8724920286153246E-2</v>
      </c>
      <c r="E37" s="96">
        <f t="shared" si="14"/>
        <v>2.3817032346923978E-2</v>
      </c>
      <c r="F37" s="96">
        <f t="shared" si="14"/>
        <v>3.4624719831841039E-2</v>
      </c>
      <c r="G37" s="96">
        <f t="shared" si="14"/>
        <v>1.9112538108598112E-2</v>
      </c>
      <c r="H37" s="95">
        <f t="shared" si="14"/>
        <v>2.0173774658616514E-2</v>
      </c>
      <c r="I37" s="96">
        <f t="shared" si="14"/>
        <v>2.2763395753675645E-2</v>
      </c>
      <c r="J37" s="96">
        <f t="shared" si="14"/>
        <v>3.4537050334838643E-2</v>
      </c>
      <c r="K37" s="96">
        <f t="shared" si="14"/>
        <v>1.9755269375811728E-2</v>
      </c>
      <c r="L37" s="95">
        <f t="shared" si="14"/>
        <v>2.115870958844657E-2</v>
      </c>
      <c r="M37" s="96">
        <f t="shared" si="14"/>
        <v>2.4546308903852537E-2</v>
      </c>
      <c r="N37" s="96">
        <f t="shared" si="14"/>
        <v>3.3010691659891706E-2</v>
      </c>
      <c r="O37" s="96">
        <f t="shared" si="14"/>
        <v>1.904059040590406E-2</v>
      </c>
      <c r="P37" s="95">
        <f t="shared" si="14"/>
        <v>2.2658513035082074E-2</v>
      </c>
      <c r="Q37" s="96">
        <f t="shared" si="14"/>
        <v>2.3320075626677393E-2</v>
      </c>
      <c r="R37" s="96">
        <f t="shared" si="14"/>
        <v>3.2942539140252775E-2</v>
      </c>
      <c r="S37" s="97">
        <f t="shared" si="14"/>
        <v>1.8005003005681707E-2</v>
      </c>
    </row>
    <row r="38" spans="1:19" s="29" customFormat="1" ht="13.35" customHeight="1">
      <c r="A38" s="27"/>
      <c r="B38" s="32" t="s">
        <v>48</v>
      </c>
      <c r="C38" s="32" t="s">
        <v>53</v>
      </c>
      <c r="D38" s="95">
        <f t="shared" ref="D38:S38" si="15">D18/D$22</f>
        <v>1.5937072113732052E-2</v>
      </c>
      <c r="E38" s="96">
        <f t="shared" si="15"/>
        <v>2.9661957920418099E-2</v>
      </c>
      <c r="F38" s="96">
        <f t="shared" si="15"/>
        <v>3.9926140124725638E-2</v>
      </c>
      <c r="G38" s="96">
        <f t="shared" si="15"/>
        <v>2.5371970303146935E-2</v>
      </c>
      <c r="H38" s="95">
        <f t="shared" si="15"/>
        <v>1.7332212044303488E-2</v>
      </c>
      <c r="I38" s="96">
        <f t="shared" si="15"/>
        <v>2.8615685406371529E-2</v>
      </c>
      <c r="J38" s="96">
        <f t="shared" si="15"/>
        <v>3.9925319546172629E-2</v>
      </c>
      <c r="K38" s="96">
        <f t="shared" si="15"/>
        <v>2.0201229912216189E-2</v>
      </c>
      <c r="L38" s="95">
        <f t="shared" si="15"/>
        <v>1.8418805758868183E-2</v>
      </c>
      <c r="M38" s="96">
        <f t="shared" si="15"/>
        <v>3.1192681503930189E-2</v>
      </c>
      <c r="N38" s="96">
        <f t="shared" si="15"/>
        <v>3.9325469262116962E-2</v>
      </c>
      <c r="O38" s="96">
        <f t="shared" si="15"/>
        <v>2.434556110266985E-2</v>
      </c>
      <c r="P38" s="95">
        <f t="shared" si="15"/>
        <v>1.9935629224332153E-2</v>
      </c>
      <c r="Q38" s="96">
        <f t="shared" si="15"/>
        <v>2.9959941436502491E-2</v>
      </c>
      <c r="R38" s="96">
        <f t="shared" si="15"/>
        <v>3.9434686756310865E-2</v>
      </c>
      <c r="S38" s="97">
        <f t="shared" si="15"/>
        <v>2.1068859198355602E-2</v>
      </c>
    </row>
    <row r="39" spans="1:19" s="29" customFormat="1" ht="13.35" customHeight="1">
      <c r="A39" s="27"/>
      <c r="B39" s="32" t="s">
        <v>49</v>
      </c>
      <c r="C39" s="32" t="s">
        <v>54</v>
      </c>
      <c r="D39" s="95">
        <f t="shared" ref="D39:S39" si="16">D19/D$22</f>
        <v>1.3954433495198178E-2</v>
      </c>
      <c r="E39" s="96">
        <f t="shared" si="16"/>
        <v>4.0923170569005657E-2</v>
      </c>
      <c r="F39" s="96">
        <f t="shared" si="16"/>
        <v>5.439036569928811E-2</v>
      </c>
      <c r="G39" s="96">
        <f t="shared" si="16"/>
        <v>3.5632172266056257E-2</v>
      </c>
      <c r="H39" s="95">
        <f t="shared" si="16"/>
        <v>1.5759641891458721E-2</v>
      </c>
      <c r="I39" s="96">
        <f t="shared" si="16"/>
        <v>4.1298473020782753E-2</v>
      </c>
      <c r="J39" s="96">
        <f t="shared" si="16"/>
        <v>5.4728432295572893E-2</v>
      </c>
      <c r="K39" s="96">
        <f t="shared" si="16"/>
        <v>3.20465676686435E-2</v>
      </c>
      <c r="L39" s="95">
        <f t="shared" si="16"/>
        <v>1.6743631396742537E-2</v>
      </c>
      <c r="M39" s="96">
        <f t="shared" si="16"/>
        <v>4.4919514081546395E-2</v>
      </c>
      <c r="N39" s="96">
        <f t="shared" si="16"/>
        <v>5.3524770801695529E-2</v>
      </c>
      <c r="O39" s="96">
        <f t="shared" si="16"/>
        <v>3.6257868461037554E-2</v>
      </c>
      <c r="P39" s="95">
        <f t="shared" si="16"/>
        <v>1.8495869541894645E-2</v>
      </c>
      <c r="Q39" s="96">
        <f t="shared" si="16"/>
        <v>4.3969139854246719E-2</v>
      </c>
      <c r="R39" s="96">
        <f t="shared" si="16"/>
        <v>5.3134383562310504E-2</v>
      </c>
      <c r="S39" s="97">
        <f t="shared" si="16"/>
        <v>3.3023715798250884E-2</v>
      </c>
    </row>
    <row r="40" spans="1:19" s="29" customFormat="1" ht="13.35" customHeight="1">
      <c r="A40" s="27"/>
      <c r="B40" s="32" t="s">
        <v>121</v>
      </c>
      <c r="C40" s="32" t="s">
        <v>126</v>
      </c>
      <c r="D40" s="95">
        <f t="shared" ref="D40:S40" si="17">D20/D$22</f>
        <v>1.1333704286791335E-2</v>
      </c>
      <c r="E40" s="96">
        <f t="shared" si="17"/>
        <v>5.9983459971697399E-2</v>
      </c>
      <c r="F40" s="96">
        <f t="shared" si="17"/>
        <v>7.5247651232739896E-2</v>
      </c>
      <c r="G40" s="96">
        <f t="shared" si="17"/>
        <v>4.8070008406680777E-2</v>
      </c>
      <c r="H40" s="95">
        <f t="shared" si="17"/>
        <v>1.3076467637863869E-2</v>
      </c>
      <c r="I40" s="96">
        <f t="shared" si="17"/>
        <v>6.1689098339583526E-2</v>
      </c>
      <c r="J40" s="96">
        <f t="shared" si="17"/>
        <v>7.7909160057659271E-2</v>
      </c>
      <c r="K40" s="96">
        <f t="shared" si="17"/>
        <v>4.8195033407920883E-2</v>
      </c>
      <c r="L40" s="95">
        <f t="shared" si="17"/>
        <v>1.3798893898187526E-2</v>
      </c>
      <c r="M40" s="96">
        <f t="shared" si="17"/>
        <v>6.6938698516095074E-2</v>
      </c>
      <c r="N40" s="96">
        <f t="shared" si="17"/>
        <v>7.7045399927392844E-2</v>
      </c>
      <c r="O40" s="96">
        <f t="shared" si="17"/>
        <v>5.0471022357282395E-2</v>
      </c>
      <c r="P40" s="95">
        <f t="shared" si="17"/>
        <v>1.5273039373457784E-2</v>
      </c>
      <c r="Q40" s="96">
        <f t="shared" si="17"/>
        <v>6.5406345383235032E-2</v>
      </c>
      <c r="R40" s="96">
        <f t="shared" si="17"/>
        <v>7.4864098034349014E-2</v>
      </c>
      <c r="S40" s="97">
        <f t="shared" si="17"/>
        <v>4.7683685935348753E-2</v>
      </c>
    </row>
    <row r="41" spans="1:19" s="29" customFormat="1" ht="13.35" customHeight="1">
      <c r="A41" s="31"/>
      <c r="B41" s="32" t="s">
        <v>122</v>
      </c>
      <c r="C41" s="32" t="s">
        <v>127</v>
      </c>
      <c r="D41" s="95">
        <f t="shared" ref="D41:S41" si="18">D21/D$22</f>
        <v>1.2121822128449915E-2</v>
      </c>
      <c r="E41" s="96">
        <f t="shared" si="18"/>
        <v>0.7305997621700957</v>
      </c>
      <c r="F41" s="96">
        <f t="shared" si="18"/>
        <v>0.56081245862801798</v>
      </c>
      <c r="G41" s="96">
        <f t="shared" si="18"/>
        <v>0.66164629143835274</v>
      </c>
      <c r="H41" s="95">
        <f t="shared" si="18"/>
        <v>1.3802414291155519E-2</v>
      </c>
      <c r="I41" s="96">
        <f t="shared" si="18"/>
        <v>0.73881162291529789</v>
      </c>
      <c r="J41" s="96">
        <f t="shared" si="18"/>
        <v>0.57248099744150294</v>
      </c>
      <c r="K41" s="96">
        <f t="shared" si="18"/>
        <v>0.70062747429859018</v>
      </c>
      <c r="L41" s="95">
        <f t="shared" si="18"/>
        <v>1.4210589292269253E-2</v>
      </c>
      <c r="M41" s="96">
        <f t="shared" si="18"/>
        <v>0.71746917613063621</v>
      </c>
      <c r="N41" s="96">
        <f t="shared" si="18"/>
        <v>0.5876015605426107</v>
      </c>
      <c r="O41" s="96">
        <f t="shared" si="18"/>
        <v>0.71815932276969829</v>
      </c>
      <c r="P41" s="95">
        <f t="shared" si="18"/>
        <v>1.5989700675893146E-2</v>
      </c>
      <c r="Q41" s="96">
        <f t="shared" si="18"/>
        <v>0.7293461453428236</v>
      </c>
      <c r="R41" s="96">
        <f t="shared" si="18"/>
        <v>0.59250337017408106</v>
      </c>
      <c r="S41" s="97">
        <f t="shared" si="18"/>
        <v>0.73556787992786365</v>
      </c>
    </row>
    <row r="42" spans="1:19" s="29" customFormat="1" ht="13.35" customHeight="1">
      <c r="A42" s="34"/>
      <c r="B42" s="35" t="s">
        <v>0</v>
      </c>
      <c r="C42" s="36"/>
      <c r="D42" s="98">
        <f t="shared" ref="D42:S42" si="19">D22/D$22</f>
        <v>1</v>
      </c>
      <c r="E42" s="99">
        <f t="shared" si="19"/>
        <v>1</v>
      </c>
      <c r="F42" s="99">
        <f t="shared" si="19"/>
        <v>1</v>
      </c>
      <c r="G42" s="99">
        <f t="shared" si="19"/>
        <v>1</v>
      </c>
      <c r="H42" s="98">
        <f t="shared" si="19"/>
        <v>1</v>
      </c>
      <c r="I42" s="99">
        <f t="shared" si="19"/>
        <v>1</v>
      </c>
      <c r="J42" s="99">
        <f t="shared" si="19"/>
        <v>1</v>
      </c>
      <c r="K42" s="99">
        <f t="shared" si="19"/>
        <v>1</v>
      </c>
      <c r="L42" s="98">
        <f t="shared" si="19"/>
        <v>1</v>
      </c>
      <c r="M42" s="99">
        <f t="shared" si="19"/>
        <v>1</v>
      </c>
      <c r="N42" s="99">
        <f t="shared" si="19"/>
        <v>1</v>
      </c>
      <c r="O42" s="99">
        <f t="shared" si="19"/>
        <v>1</v>
      </c>
      <c r="P42" s="98">
        <f t="shared" si="19"/>
        <v>1</v>
      </c>
      <c r="Q42" s="99">
        <f t="shared" si="19"/>
        <v>1</v>
      </c>
      <c r="R42" s="99">
        <f t="shared" si="19"/>
        <v>1</v>
      </c>
      <c r="S42" s="100">
        <f t="shared" si="19"/>
        <v>1</v>
      </c>
    </row>
    <row r="43" spans="1:19" s="29" customFormat="1" ht="12" customHeight="1">
      <c r="A43" s="46" t="s">
        <v>81</v>
      </c>
      <c r="B43" s="28"/>
      <c r="C43" s="70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s="29" customFormat="1" ht="13.35" customHeight="1">
      <c r="A44" s="70"/>
      <c r="B44" s="71"/>
      <c r="C44" s="70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s="29" customFormat="1" ht="13.35" customHeight="1"/>
    <row r="46" spans="1:19" s="29" customFormat="1" ht="13.35" customHeight="1"/>
    <row r="47" spans="1:19" s="29" customFormat="1" ht="13.35" customHeight="1"/>
    <row r="48" spans="1:19" s="29" customFormat="1" ht="13.35" customHeight="1"/>
    <row r="49" spans="3:4" s="29" customFormat="1" ht="13.35" customHeight="1"/>
    <row r="50" spans="3:4" s="29" customFormat="1" ht="13.35" customHeight="1"/>
    <row r="51" spans="3:4" s="29" customFormat="1" ht="13.35" customHeight="1">
      <c r="C51" s="201"/>
    </row>
    <row r="52" spans="3:4" s="29" customFormat="1" ht="13.35" customHeight="1">
      <c r="D52" s="202"/>
    </row>
    <row r="53" spans="3:4" s="29" customFormat="1" ht="13.35" customHeight="1">
      <c r="D53" s="202"/>
    </row>
    <row r="54" spans="3:4" s="29" customFormat="1" ht="13.35" customHeight="1"/>
    <row r="55" spans="3:4" s="29" customFormat="1" ht="13.35" customHeight="1"/>
    <row r="56" spans="3:4" s="29" customFormat="1" ht="13.35" customHeight="1"/>
    <row r="57" spans="3:4" s="29" customFormat="1" ht="13.35" customHeight="1"/>
    <row r="58" spans="3:4" s="29" customFormat="1" ht="13.35" customHeight="1"/>
    <row r="59" spans="3:4" s="29" customFormat="1" ht="13.35" customHeight="1"/>
    <row r="60" spans="3:4" s="29" customFormat="1" ht="13.35" customHeight="1"/>
    <row r="61" spans="3:4" s="29" customFormat="1" ht="13.35" customHeight="1"/>
    <row r="62" spans="3:4" s="29" customFormat="1" ht="13.35" customHeight="1"/>
    <row r="63" spans="3:4" s="29" customFormat="1" ht="13.35" customHeight="1"/>
    <row r="64" spans="3:4" s="29" customFormat="1" ht="13.35" customHeight="1"/>
    <row r="65" s="29" customFormat="1" ht="13.35" customHeight="1"/>
    <row r="66" s="29" customFormat="1" ht="13.35" customHeight="1"/>
    <row r="67" s="29" customFormat="1" ht="13.35" customHeight="1"/>
    <row r="68" s="29" customFormat="1" ht="13.35" customHeight="1"/>
    <row r="69" s="29" customFormat="1" ht="13.35" customHeight="1"/>
    <row r="70" s="29" customFormat="1" ht="13.35" customHeight="1"/>
    <row r="71" s="29" customFormat="1" ht="13.35" customHeight="1"/>
    <row r="72" s="29" customFormat="1" ht="13.35" customHeight="1"/>
    <row r="73" s="29" customFormat="1" ht="13.35" customHeight="1"/>
    <row r="74" s="29" customFormat="1" ht="13.35" customHeight="1"/>
    <row r="75" s="29" customFormat="1" ht="13.35" customHeight="1"/>
    <row r="76" s="29" customFormat="1" ht="13.35" customHeight="1"/>
    <row r="77" s="29" customFormat="1" ht="13.35" customHeight="1"/>
    <row r="78" s="29" customFormat="1" ht="13.35" customHeight="1"/>
    <row r="79" s="29" customFormat="1" ht="13.35" customHeight="1"/>
    <row r="80" s="29" customFormat="1" ht="13.35" customHeight="1"/>
    <row r="81" s="29" customFormat="1" ht="13.35" customHeight="1"/>
    <row r="82" s="29" customFormat="1" ht="13.35" customHeight="1"/>
    <row r="83" s="29" customFormat="1" ht="13.35" customHeight="1"/>
    <row r="84" s="29" customFormat="1" ht="13.35" customHeight="1"/>
    <row r="85" s="29" customFormat="1" ht="13.35" customHeight="1"/>
    <row r="86" s="29" customFormat="1" ht="13.35" customHeight="1"/>
    <row r="87" s="29" customFormat="1" ht="13.35" customHeight="1"/>
    <row r="88" s="29" customFormat="1" ht="13.35" customHeight="1"/>
    <row r="89" s="29" customFormat="1" ht="13.35" customHeight="1"/>
    <row r="90" s="29" customFormat="1" ht="13.35" customHeight="1"/>
    <row r="91" s="29" customFormat="1" ht="13.35" customHeight="1"/>
    <row r="92" s="29" customFormat="1" ht="13.35" customHeight="1"/>
    <row r="93" s="29" customFormat="1" ht="13.35" customHeight="1"/>
    <row r="94" s="29" customFormat="1" ht="13.35" customHeight="1"/>
    <row r="95" s="29" customFormat="1" ht="13.35" customHeight="1"/>
    <row r="96" s="29" customFormat="1" ht="13.35" customHeight="1"/>
    <row r="97" s="29" customFormat="1" ht="13.35" customHeight="1"/>
    <row r="98" s="29" customFormat="1" ht="13.35" customHeight="1"/>
    <row r="99" s="29" customFormat="1" ht="13.35" customHeight="1"/>
    <row r="100" s="29" customFormat="1" ht="13.35" customHeight="1"/>
    <row r="101" s="29" customFormat="1" ht="13.35" customHeight="1"/>
    <row r="102" s="29" customFormat="1" ht="13.35" customHeight="1"/>
    <row r="103" s="29" customFormat="1" ht="13.35" customHeight="1"/>
    <row r="104" s="29" customFormat="1" ht="13.35" customHeight="1"/>
    <row r="105" s="29" customFormat="1" ht="13.35" customHeight="1"/>
    <row r="106" s="29" customFormat="1" ht="13.35" customHeight="1"/>
    <row r="107" s="29" customFormat="1" ht="13.35" customHeight="1"/>
    <row r="108" s="29" customFormat="1" ht="13.35" customHeight="1"/>
    <row r="109" s="29" customFormat="1" ht="13.35" customHeight="1"/>
    <row r="110" s="29" customFormat="1" ht="13.35" customHeight="1"/>
    <row r="111" s="29" customFormat="1" ht="13.35" customHeight="1"/>
    <row r="112" s="29" customFormat="1" ht="13.35" customHeight="1"/>
    <row r="113" s="29" customFormat="1" ht="13.35" customHeight="1"/>
    <row r="114" s="29" customFormat="1" ht="13.35" customHeight="1"/>
    <row r="115" s="29" customFormat="1" ht="13.35" customHeight="1"/>
    <row r="116" s="29" customFormat="1" ht="13.35" customHeight="1"/>
    <row r="117" s="29" customFormat="1" ht="13.35" customHeight="1"/>
    <row r="118" s="29" customFormat="1" ht="13.35" customHeight="1"/>
    <row r="119" s="29" customFormat="1" ht="13.35" customHeight="1"/>
    <row r="120" s="29" customFormat="1" ht="13.35" customHeight="1"/>
    <row r="121" s="29" customFormat="1" ht="13.35" customHeight="1"/>
    <row r="122" s="29" customFormat="1" ht="13.35" customHeight="1"/>
    <row r="123" s="29" customFormat="1" ht="13.35" customHeight="1"/>
    <row r="124" s="29" customFormat="1" ht="13.35" customHeight="1"/>
    <row r="125" s="29" customFormat="1" ht="13.35" customHeight="1"/>
    <row r="126" s="29" customFormat="1" ht="13.35" customHeight="1"/>
    <row r="127" s="29" customFormat="1" ht="13.35" customHeight="1"/>
    <row r="128" s="29" customFormat="1" ht="13.35" customHeight="1"/>
    <row r="129" s="29" customFormat="1" ht="13.35" customHeight="1"/>
    <row r="130" s="29" customFormat="1" ht="13.35" customHeight="1"/>
    <row r="131" s="29" customFormat="1" ht="13.35" customHeight="1"/>
    <row r="132" s="29" customFormat="1" ht="13.35" customHeight="1"/>
    <row r="133" s="29" customFormat="1" ht="13.35" customHeight="1"/>
    <row r="134" s="29" customFormat="1" ht="13.35" customHeight="1"/>
    <row r="135" s="29" customFormat="1" ht="13.35" customHeight="1"/>
    <row r="136" s="29" customFormat="1" ht="13.35" customHeight="1"/>
    <row r="137" s="29" customFormat="1" ht="13.35" customHeight="1"/>
    <row r="138" s="29" customFormat="1" ht="13.35" customHeight="1"/>
    <row r="139" s="29" customFormat="1" ht="13.35" customHeight="1"/>
    <row r="140" s="29" customFormat="1" ht="13.35" customHeight="1"/>
    <row r="141" s="29" customFormat="1" ht="13.35" customHeight="1"/>
    <row r="142" s="29" customFormat="1" ht="13.35" customHeight="1"/>
    <row r="143" s="29" customFormat="1" ht="13.35" customHeight="1"/>
    <row r="144" s="29" customFormat="1" ht="13.35" customHeight="1"/>
    <row r="145" s="29" customFormat="1" ht="13.35" customHeight="1"/>
    <row r="146" s="29" customFormat="1" ht="13.35" customHeight="1"/>
    <row r="147" s="29" customFormat="1" ht="13.35" customHeight="1"/>
    <row r="148" s="29" customFormat="1" ht="13.35" customHeight="1"/>
    <row r="149" s="29" customFormat="1" ht="13.35" customHeight="1"/>
    <row r="150" s="29" customFormat="1" ht="13.35" customHeight="1"/>
    <row r="151" s="29" customFormat="1" ht="13.35" customHeight="1"/>
    <row r="152" s="29" customFormat="1" ht="13.35" customHeight="1"/>
    <row r="153" s="29" customFormat="1" ht="13.35" customHeight="1"/>
    <row r="154" s="29" customFormat="1" ht="13.35" customHeight="1"/>
    <row r="155" s="29" customFormat="1" ht="13.35" customHeight="1"/>
    <row r="156" s="29" customFormat="1" ht="13.35" customHeight="1"/>
    <row r="157" s="29" customFormat="1" ht="13.35" customHeight="1"/>
    <row r="158" s="29" customFormat="1" ht="13.35" customHeight="1"/>
    <row r="159" s="29" customFormat="1" ht="13.35" customHeight="1"/>
    <row r="160" s="29" customFormat="1" ht="13.35" customHeight="1"/>
    <row r="161" s="29" customFormat="1" ht="13.35" customHeight="1"/>
    <row r="162" s="29" customFormat="1" ht="13.35" customHeight="1"/>
    <row r="163" s="29" customFormat="1" ht="13.35" customHeight="1"/>
    <row r="164" s="29" customFormat="1" ht="13.35" customHeight="1"/>
    <row r="165" s="29" customFormat="1" ht="13.35" customHeight="1"/>
    <row r="166" s="29" customFormat="1" ht="13.35" customHeight="1"/>
    <row r="167" s="29" customFormat="1" ht="13.35" customHeight="1"/>
    <row r="168" s="29" customFormat="1" ht="13.35" customHeight="1"/>
    <row r="169" s="29" customFormat="1" ht="13.35" customHeight="1"/>
    <row r="170" s="29" customFormat="1" ht="13.35" customHeight="1"/>
    <row r="171" s="29" customFormat="1" ht="13.35" customHeight="1"/>
    <row r="172" s="29" customFormat="1" ht="13.35" customHeight="1"/>
    <row r="173" s="29" customFormat="1" ht="13.35" customHeight="1"/>
    <row r="174" s="29" customFormat="1" ht="13.35" customHeight="1"/>
    <row r="175" s="29" customFormat="1" ht="13.35" customHeight="1"/>
    <row r="176" s="29" customFormat="1" ht="13.35" customHeight="1"/>
    <row r="177" s="29" customFormat="1" ht="13.35" customHeight="1"/>
    <row r="178" s="29" customFormat="1" ht="13.35" customHeight="1"/>
    <row r="179" s="29" customFormat="1" ht="13.35" customHeight="1"/>
    <row r="180" s="29" customFormat="1" ht="13.35" customHeight="1"/>
    <row r="181" s="29" customFormat="1" ht="13.35" customHeight="1"/>
    <row r="182" s="29" customFormat="1" ht="13.35" customHeight="1"/>
    <row r="183" s="29" customFormat="1" ht="13.35" customHeight="1"/>
    <row r="184" s="29" customFormat="1" ht="13.35" customHeight="1"/>
    <row r="185" s="29" customFormat="1" ht="13.35" customHeight="1"/>
    <row r="186" s="29" customFormat="1" ht="13.35" customHeight="1"/>
    <row r="187" s="29" customFormat="1" ht="13.35" customHeight="1"/>
    <row r="188" s="29" customFormat="1" ht="13.35" customHeight="1"/>
    <row r="189" s="29" customFormat="1" ht="13.35" customHeight="1"/>
    <row r="190" s="29" customFormat="1" ht="13.35" customHeight="1"/>
    <row r="191" s="29" customFormat="1" ht="13.35" customHeight="1"/>
    <row r="192" s="29" customFormat="1" ht="13.35" customHeight="1"/>
    <row r="193" s="29" customFormat="1" ht="13.35" customHeight="1"/>
    <row r="194" s="29" customFormat="1" ht="13.35" customHeight="1"/>
    <row r="195" s="29" customFormat="1" ht="13.35" customHeight="1"/>
    <row r="196" s="29" customFormat="1" ht="13.35" customHeight="1"/>
    <row r="197" s="29" customFormat="1" ht="13.35" customHeight="1"/>
    <row r="198" s="29" customFormat="1" ht="13.35" customHeight="1"/>
    <row r="199" s="29" customFormat="1" ht="13.35" customHeight="1"/>
    <row r="200" s="29" customFormat="1" ht="13.35" customHeight="1"/>
    <row r="201" s="29" customFormat="1" ht="13.35" customHeight="1"/>
    <row r="202" s="29" customFormat="1" ht="13.35" customHeight="1"/>
    <row r="203" s="29" customFormat="1" ht="13.35" customHeight="1"/>
    <row r="204" s="29" customFormat="1" ht="13.35" customHeight="1"/>
    <row r="205" s="29" customFormat="1" ht="13.35" customHeight="1"/>
    <row r="206" s="29" customFormat="1" ht="13.35" customHeight="1"/>
    <row r="207" s="29" customFormat="1" ht="13.35" customHeight="1"/>
    <row r="208" s="29" customFormat="1" ht="13.35" customHeight="1"/>
    <row r="209" s="29" customFormat="1" ht="13.35" customHeight="1"/>
    <row r="210" s="29" customFormat="1" ht="13.35" customHeight="1"/>
    <row r="211" s="29" customFormat="1" ht="13.35" customHeight="1"/>
    <row r="212" s="29" customFormat="1" ht="13.35" customHeight="1"/>
    <row r="213" s="29" customFormat="1" ht="13.35" customHeight="1"/>
    <row r="214" s="29" customFormat="1" ht="13.35" customHeight="1"/>
    <row r="215" s="29" customFormat="1" ht="13.35" customHeight="1"/>
    <row r="216" s="29" customFormat="1" ht="13.35" customHeight="1"/>
    <row r="217" s="29" customFormat="1" ht="13.35" customHeight="1"/>
    <row r="218" s="29" customFormat="1" ht="13.35" customHeight="1"/>
    <row r="219" s="29" customFormat="1" ht="13.35" customHeight="1"/>
    <row r="220" s="29" customFormat="1" ht="13.35" customHeight="1"/>
    <row r="221" s="29" customFormat="1" ht="13.35" customHeight="1"/>
    <row r="222" s="29" customFormat="1" ht="13.35" customHeight="1"/>
    <row r="223" s="29" customFormat="1" ht="13.35" customHeight="1"/>
    <row r="224" s="29" customFormat="1" ht="13.35" customHeight="1"/>
    <row r="225" s="29" customFormat="1" ht="13.35" customHeight="1"/>
    <row r="226" s="29" customFormat="1" ht="13.35" customHeight="1"/>
    <row r="227" s="29" customFormat="1" ht="13.35" customHeight="1"/>
    <row r="228" s="29" customFormat="1" ht="13.35" customHeight="1"/>
    <row r="229" s="29" customFormat="1" ht="13.35" customHeight="1"/>
    <row r="230" s="29" customFormat="1" ht="13.35" customHeight="1"/>
    <row r="231" s="29" customFormat="1" ht="13.35" customHeight="1"/>
    <row r="232" s="29" customFormat="1" ht="13.35" customHeight="1"/>
    <row r="233" s="29" customFormat="1" ht="13.35" customHeight="1"/>
    <row r="234" s="29" customFormat="1" ht="13.35" customHeight="1"/>
    <row r="235" s="29" customFormat="1" ht="13.35" customHeight="1"/>
    <row r="236" s="29" customFormat="1" ht="13.35" customHeight="1"/>
    <row r="237" s="29" customFormat="1" ht="13.35" customHeight="1"/>
    <row r="238" s="29" customFormat="1" ht="13.35" customHeight="1"/>
    <row r="239" s="29" customFormat="1" ht="13.35" customHeight="1"/>
    <row r="240" s="29" customFormat="1" ht="13.35" customHeight="1"/>
    <row r="241" s="29" customFormat="1" ht="13.35" customHeight="1"/>
    <row r="242" s="29" customFormat="1" ht="13.35" customHeight="1"/>
    <row r="243" s="29" customFormat="1" ht="13.35" customHeight="1"/>
    <row r="244" s="29" customFormat="1" ht="13.35" customHeight="1"/>
    <row r="245" s="29" customFormat="1" ht="13.35" customHeight="1"/>
    <row r="246" s="29" customFormat="1" ht="13.35" customHeight="1"/>
    <row r="247" s="29" customFormat="1" ht="13.35" customHeight="1"/>
    <row r="248" s="29" customFormat="1" ht="13.35" customHeight="1"/>
    <row r="249" s="29" customFormat="1" ht="13.35" customHeight="1"/>
    <row r="250" s="29" customFormat="1" ht="13.35" customHeight="1"/>
    <row r="251" s="29" customFormat="1" ht="13.35" customHeight="1"/>
    <row r="252" s="29" customFormat="1" ht="13.35" customHeight="1"/>
    <row r="253" s="29" customFormat="1" ht="13.35" customHeight="1"/>
    <row r="254" s="29" customFormat="1" ht="13.35" customHeight="1"/>
    <row r="255" s="29" customFormat="1" ht="13.35" customHeight="1"/>
    <row r="256" s="29" customFormat="1" ht="13.35" customHeight="1"/>
    <row r="257" s="29" customFormat="1" ht="13.35" customHeight="1"/>
    <row r="258" s="29" customFormat="1" ht="13.35" customHeight="1"/>
    <row r="259" s="29" customFormat="1" ht="13.35" customHeight="1"/>
    <row r="260" s="29" customFormat="1" ht="13.35" customHeight="1"/>
    <row r="261" s="29" customFormat="1" ht="13.35" customHeight="1"/>
    <row r="262" s="29" customFormat="1" ht="13.35" customHeight="1"/>
    <row r="263" s="29" customFormat="1" ht="13.35" customHeight="1"/>
    <row r="264" s="29" customFormat="1" ht="13.35" customHeight="1"/>
    <row r="265" s="29" customFormat="1" ht="13.35" customHeight="1"/>
    <row r="266" s="29" customFormat="1" ht="13.35" customHeight="1"/>
    <row r="267" s="29" customFormat="1" ht="13.35" customHeight="1"/>
    <row r="268" s="29" customFormat="1" ht="13.35" customHeight="1"/>
    <row r="269" s="29" customFormat="1" ht="13.35" customHeight="1"/>
    <row r="270" s="29" customFormat="1" ht="13.35" customHeight="1"/>
    <row r="271" s="29" customFormat="1" ht="13.35" customHeight="1"/>
    <row r="272" s="29" customFormat="1" ht="13.35" customHeight="1"/>
    <row r="273" s="29" customFormat="1" ht="13.35" customHeight="1"/>
    <row r="274" s="29" customFormat="1" ht="13.35" customHeight="1"/>
    <row r="275" s="29" customFormat="1" ht="13.35" customHeight="1"/>
    <row r="276" s="29" customFormat="1" ht="13.35" customHeight="1"/>
    <row r="277" s="29" customFormat="1" ht="13.35" customHeight="1"/>
    <row r="278" s="29" customFormat="1" ht="13.35" customHeight="1"/>
    <row r="279" s="29" customFormat="1" ht="13.35" customHeight="1"/>
    <row r="280" s="29" customFormat="1" ht="13.35" customHeight="1"/>
    <row r="281" s="29" customFormat="1" ht="13.35" customHeight="1"/>
    <row r="282" s="29" customFormat="1" ht="13.35" customHeight="1"/>
    <row r="283" s="29" customFormat="1" ht="13.35" customHeight="1"/>
    <row r="284" s="29" customFormat="1" ht="13.35" customHeight="1"/>
    <row r="285" s="29" customFormat="1" ht="13.35" customHeight="1"/>
    <row r="286" s="29" customFormat="1" ht="13.35" customHeight="1"/>
    <row r="287" s="29" customFormat="1" ht="13.35" customHeight="1"/>
    <row r="288" s="29" customFormat="1" ht="13.35" customHeight="1"/>
    <row r="289" s="29" customFormat="1" ht="13.35" customHeight="1"/>
    <row r="290" s="29" customFormat="1" ht="13.35" customHeight="1"/>
    <row r="291" s="29" customFormat="1" ht="13.35" customHeight="1"/>
    <row r="292" s="29" customFormat="1" ht="13.35" customHeight="1"/>
    <row r="293" s="29" customFormat="1" ht="13.35" customHeight="1"/>
    <row r="294" s="29" customFormat="1" ht="13.35" customHeight="1"/>
    <row r="295" s="29" customFormat="1" ht="13.35" customHeight="1"/>
    <row r="296" s="29" customFormat="1" ht="13.35" customHeight="1"/>
    <row r="297" s="29" customFormat="1" ht="13.35" customHeight="1"/>
    <row r="298" s="29" customFormat="1" ht="13.35" customHeight="1"/>
    <row r="299" s="29" customFormat="1" ht="13.35" customHeight="1"/>
    <row r="300" s="29" customFormat="1" ht="13.35" customHeight="1"/>
    <row r="301" s="29" customFormat="1" ht="13.35" customHeight="1"/>
    <row r="302" s="29" customFormat="1" ht="13.35" customHeight="1"/>
    <row r="303" s="29" customFormat="1" ht="13.35" customHeight="1"/>
    <row r="304" s="29" customFormat="1" ht="13.35" customHeight="1"/>
    <row r="305" s="29" customFormat="1" ht="13.35" customHeight="1"/>
    <row r="306" s="29" customFormat="1" ht="13.35" customHeight="1"/>
    <row r="307" s="29" customFormat="1" ht="13.35" customHeight="1"/>
    <row r="308" s="29" customFormat="1" ht="13.35" customHeight="1"/>
    <row r="309" s="29" customFormat="1" ht="13.35" customHeight="1"/>
    <row r="310" s="29" customFormat="1" ht="13.35" customHeight="1"/>
    <row r="311" s="29" customFormat="1" ht="13.35" customHeight="1"/>
    <row r="312" s="29" customFormat="1" ht="13.35" customHeight="1"/>
    <row r="313" s="29" customFormat="1" ht="13.35" customHeight="1"/>
    <row r="314" s="29" customFormat="1" ht="13.35" customHeight="1"/>
    <row r="315" s="29" customFormat="1" ht="13.35" customHeight="1"/>
    <row r="316" s="29" customFormat="1" ht="13.35" customHeight="1"/>
    <row r="317" s="29" customFormat="1" ht="13.35" customHeight="1"/>
    <row r="318" s="29" customFormat="1" ht="13.35" customHeight="1"/>
    <row r="319" s="29" customFormat="1" ht="13.35" customHeight="1"/>
    <row r="320" s="29" customFormat="1" ht="13.35" customHeight="1"/>
    <row r="321" s="29" customFormat="1" ht="13.35" customHeight="1"/>
    <row r="322" s="29" customFormat="1" ht="13.35" customHeight="1"/>
    <row r="323" s="29" customFormat="1" ht="13.35" customHeight="1"/>
    <row r="324" s="29" customFormat="1" ht="13.35" customHeight="1"/>
    <row r="325" s="29" customFormat="1" ht="13.35" customHeight="1"/>
    <row r="326" s="29" customFormat="1" ht="13.35" customHeight="1"/>
    <row r="327" s="29" customFormat="1" ht="13.35" customHeight="1"/>
    <row r="328" s="29" customFormat="1" ht="13.35" customHeight="1"/>
    <row r="329" s="29" customFormat="1" ht="13.35" customHeight="1"/>
    <row r="330" s="29" customFormat="1" ht="13.35" customHeight="1"/>
    <row r="331" s="29" customFormat="1" ht="13.35" customHeight="1"/>
    <row r="332" s="29" customFormat="1" ht="13.35" customHeight="1"/>
    <row r="333" s="29" customFormat="1" ht="13.35" customHeight="1"/>
    <row r="334" s="29" customFormat="1" ht="13.35" customHeight="1"/>
    <row r="335" s="29" customFormat="1" ht="13.35" customHeight="1"/>
    <row r="336" s="29" customFormat="1" ht="13.35" customHeight="1"/>
    <row r="337" s="29" customFormat="1" ht="13.35" customHeight="1"/>
    <row r="338" s="29" customFormat="1" ht="13.35" customHeight="1"/>
    <row r="339" s="29" customFormat="1" ht="13.35" customHeight="1"/>
    <row r="340" s="29" customFormat="1" ht="13.35" customHeight="1"/>
    <row r="341" s="29" customFormat="1" ht="13.35" customHeight="1"/>
    <row r="342" s="29" customFormat="1" ht="13.35" customHeight="1"/>
    <row r="343" s="29" customFormat="1" ht="13.35" customHeight="1"/>
    <row r="344" s="29" customFormat="1" ht="13.35" customHeight="1"/>
    <row r="345" s="29" customFormat="1" ht="13.35" customHeight="1"/>
    <row r="346" s="29" customFormat="1" ht="13.35" customHeight="1"/>
    <row r="347" s="29" customFormat="1" ht="13.35" customHeight="1"/>
    <row r="348" s="29" customFormat="1" ht="13.35" customHeight="1"/>
    <row r="349" s="29" customFormat="1" ht="13.35" customHeight="1"/>
    <row r="350" s="29" customFormat="1" ht="13.35" customHeight="1"/>
    <row r="351" s="29" customFormat="1" ht="13.35" customHeight="1"/>
    <row r="352" s="29" customFormat="1" ht="13.35" customHeight="1"/>
    <row r="353" s="29" customFormat="1" ht="13.35" customHeight="1"/>
    <row r="354" s="29" customFormat="1" ht="13.35" customHeight="1"/>
    <row r="355" s="29" customFormat="1" ht="13.35" customHeight="1"/>
    <row r="356" s="29" customFormat="1" ht="13.35" customHeight="1"/>
    <row r="357" s="29" customFormat="1" ht="13.35" customHeight="1"/>
    <row r="358" s="29" customFormat="1" ht="13.35" customHeight="1"/>
    <row r="359" s="29" customFormat="1" ht="13.35" customHeight="1"/>
    <row r="360" s="29" customFormat="1" ht="13.35" customHeight="1"/>
    <row r="361" s="29" customFormat="1" ht="13.35" customHeight="1"/>
    <row r="362" s="29" customFormat="1" ht="13.35" customHeight="1"/>
    <row r="363" s="29" customFormat="1" ht="13.35" customHeight="1"/>
    <row r="364" s="29" customFormat="1" ht="13.35" customHeight="1"/>
    <row r="365" s="29" customFormat="1" ht="13.35" customHeight="1"/>
    <row r="366" s="29" customFormat="1" ht="13.35" customHeight="1"/>
    <row r="367" s="29" customFormat="1" ht="13.35" customHeight="1"/>
    <row r="368" s="29" customFormat="1" ht="13.35" customHeight="1"/>
    <row r="369" s="29" customFormat="1" ht="13.35" customHeight="1"/>
    <row r="370" s="29" customFormat="1" ht="13.35" customHeight="1"/>
    <row r="371" s="29" customFormat="1" ht="13.35" customHeight="1"/>
    <row r="372" s="29" customFormat="1" ht="13.35" customHeight="1"/>
    <row r="373" s="29" customFormat="1" ht="13.35" customHeight="1"/>
    <row r="374" s="29" customFormat="1" ht="13.35" customHeight="1"/>
    <row r="375" s="29" customFormat="1" ht="13.35" customHeight="1"/>
    <row r="376" s="29" customFormat="1" ht="13.35" customHeight="1"/>
    <row r="377" s="29" customFormat="1" ht="13.35" customHeight="1"/>
    <row r="378" s="29" customFormat="1" ht="13.35" customHeight="1"/>
    <row r="379" s="29" customFormat="1" ht="13.35" customHeight="1"/>
    <row r="380" s="29" customFormat="1" ht="13.35" customHeight="1"/>
    <row r="381" s="29" customFormat="1" ht="13.35" customHeight="1"/>
    <row r="382" s="29" customFormat="1" ht="13.35" customHeight="1"/>
    <row r="383" s="29" customFormat="1" ht="13.35" customHeight="1"/>
    <row r="384" s="29" customFormat="1" ht="13.35" customHeight="1"/>
    <row r="385" s="29" customFormat="1" ht="13.35" customHeight="1"/>
    <row r="386" s="29" customFormat="1" ht="13.35" customHeight="1"/>
    <row r="387" s="29" customFormat="1" ht="13.35" customHeight="1"/>
    <row r="388" s="29" customFormat="1" ht="13.35" customHeight="1"/>
    <row r="389" s="29" customFormat="1" ht="13.35" customHeight="1"/>
    <row r="390" s="29" customFormat="1" ht="13.35" customHeight="1"/>
    <row r="391" s="29" customFormat="1" ht="13.35" customHeight="1"/>
    <row r="392" s="29" customFormat="1" ht="13.35" customHeight="1"/>
    <row r="393" s="29" customFormat="1" ht="13.35" customHeight="1"/>
    <row r="394" s="29" customFormat="1" ht="13.35" customHeight="1"/>
    <row r="395" s="29" customFormat="1" ht="13.35" customHeight="1"/>
    <row r="396" s="29" customFormat="1" ht="13.35" customHeight="1"/>
    <row r="397" s="29" customFormat="1" ht="13.35" customHeight="1"/>
    <row r="398" s="29" customFormat="1" ht="13.35" customHeight="1"/>
    <row r="399" s="29" customFormat="1" ht="13.35" customHeight="1"/>
    <row r="400" s="29" customFormat="1" ht="13.35" customHeight="1"/>
    <row r="401" s="29" customFormat="1" ht="13.35" customHeight="1"/>
    <row r="402" s="29" customFormat="1" ht="13.35" customHeight="1"/>
    <row r="403" s="29" customFormat="1" ht="13.35" customHeight="1"/>
    <row r="404" s="29" customFormat="1" ht="13.35" customHeight="1"/>
    <row r="405" s="29" customFormat="1" ht="13.35" customHeight="1"/>
    <row r="406" s="29" customFormat="1" ht="13.35" customHeight="1"/>
    <row r="407" s="29" customFormat="1" ht="13.35" customHeight="1"/>
    <row r="408" s="29" customFormat="1" ht="13.35" customHeight="1"/>
    <row r="409" s="29" customFormat="1" ht="13.35" customHeight="1"/>
    <row r="410" s="29" customFormat="1" ht="13.35" customHeight="1"/>
    <row r="411" s="29" customFormat="1" ht="13.35" customHeight="1"/>
    <row r="412" s="29" customFormat="1" ht="13.35" customHeight="1"/>
    <row r="413" s="29" customFormat="1" ht="13.35" customHeight="1"/>
    <row r="414" s="29" customFormat="1" ht="13.35" customHeight="1"/>
    <row r="415" s="29" customFormat="1" ht="13.35" customHeight="1"/>
    <row r="416" s="29" customFormat="1" ht="13.35" customHeight="1"/>
    <row r="417" s="29" customFormat="1" ht="13.35" customHeight="1"/>
    <row r="418" s="29" customFormat="1" ht="13.35" customHeight="1"/>
    <row r="419" s="29" customFormat="1" ht="13.35" customHeight="1"/>
    <row r="420" s="29" customFormat="1" ht="13.35" customHeight="1"/>
    <row r="421" s="29" customFormat="1" ht="13.35" customHeight="1"/>
    <row r="422" s="29" customFormat="1" ht="13.35" customHeight="1"/>
    <row r="423" s="29" customFormat="1" ht="13.35" customHeight="1"/>
    <row r="424" s="29" customFormat="1" ht="13.35" customHeight="1"/>
    <row r="425" s="29" customFormat="1" ht="13.35" customHeight="1"/>
    <row r="426" s="29" customFormat="1" ht="13.35" customHeight="1"/>
    <row r="427" s="29" customFormat="1" ht="13.35" customHeight="1"/>
    <row r="428" s="29" customFormat="1" ht="13.35" customHeight="1"/>
    <row r="429" s="29" customFormat="1" ht="13.35" customHeight="1"/>
    <row r="430" s="29" customFormat="1" ht="13.35" customHeight="1"/>
    <row r="431" s="29" customFormat="1" ht="13.35" customHeight="1"/>
    <row r="432" s="29" customFormat="1" ht="13.35" customHeight="1"/>
    <row r="433" s="29" customFormat="1" ht="13.35" customHeight="1"/>
    <row r="434" s="29" customFormat="1" ht="13.35" customHeight="1"/>
    <row r="435" s="29" customFormat="1" ht="13.35" customHeight="1"/>
    <row r="436" s="29" customFormat="1" ht="13.35" customHeight="1"/>
    <row r="437" s="29" customFormat="1" ht="13.35" customHeight="1"/>
    <row r="438" s="29" customFormat="1" ht="13.35" customHeight="1"/>
    <row r="439" s="29" customFormat="1" ht="13.35" customHeight="1"/>
    <row r="440" s="29" customFormat="1" ht="13.35" customHeight="1"/>
    <row r="441" s="29" customFormat="1" ht="13.35" customHeight="1"/>
    <row r="442" s="29" customFormat="1" ht="13.35" customHeight="1"/>
    <row r="443" s="29" customFormat="1" ht="13.35" customHeight="1"/>
    <row r="444" s="29" customFormat="1" ht="13.35" customHeight="1"/>
    <row r="445" s="29" customFormat="1" ht="13.35" customHeight="1"/>
    <row r="446" s="29" customFormat="1" ht="13.35" customHeight="1"/>
    <row r="447" s="29" customFormat="1" ht="13.35" customHeight="1"/>
    <row r="448" s="29" customFormat="1" ht="13.35" customHeight="1"/>
    <row r="449" s="29" customFormat="1" ht="13.35" customHeight="1"/>
    <row r="450" s="29" customFormat="1" ht="13.35" customHeight="1"/>
    <row r="451" s="29" customFormat="1" ht="13.35" customHeight="1"/>
    <row r="452" s="29" customFormat="1" ht="13.35" customHeight="1"/>
    <row r="453" s="29" customFormat="1" ht="13.35" customHeight="1"/>
    <row r="454" s="29" customFormat="1" ht="13.35" customHeight="1"/>
    <row r="455" s="29" customFormat="1" ht="13.35" customHeight="1"/>
    <row r="456" s="29" customFormat="1" ht="13.35" customHeight="1"/>
    <row r="457" s="29" customFormat="1" ht="13.35" customHeight="1"/>
    <row r="458" s="29" customFormat="1" ht="13.35" customHeight="1"/>
    <row r="459" s="29" customFormat="1" ht="13.35" customHeight="1"/>
    <row r="460" s="29" customFormat="1" ht="13.35" customHeight="1"/>
    <row r="461" s="29" customFormat="1" ht="13.35" customHeight="1"/>
    <row r="462" s="29" customFormat="1" ht="13.35" customHeight="1"/>
    <row r="463" s="29" customFormat="1" ht="13.35" customHeight="1"/>
    <row r="464" s="29" customFormat="1" ht="13.35" customHeight="1"/>
    <row r="465" s="29" customFormat="1" ht="13.35" customHeight="1"/>
    <row r="466" s="29" customFormat="1" ht="13.35" customHeight="1"/>
    <row r="467" s="29" customFormat="1" ht="13.35" customHeight="1"/>
    <row r="468" s="29" customFormat="1" ht="13.35" customHeight="1"/>
    <row r="469" s="29" customFormat="1" ht="13.35" customHeight="1"/>
    <row r="470" s="29" customFormat="1" ht="13.35" customHeight="1"/>
    <row r="471" s="29" customFormat="1" ht="13.35" customHeight="1"/>
    <row r="472" s="29" customFormat="1" ht="13.35" customHeight="1"/>
    <row r="473" s="29" customFormat="1" ht="13.35" customHeight="1"/>
    <row r="474" s="29" customFormat="1" ht="13.35" customHeight="1"/>
    <row r="475" s="29" customFormat="1" ht="13.35" customHeight="1"/>
    <row r="476" s="29" customFormat="1" ht="13.35" customHeight="1"/>
    <row r="477" s="29" customFormat="1" ht="13.35" customHeight="1"/>
    <row r="478" s="29" customFormat="1" ht="13.35" customHeight="1"/>
    <row r="479" s="29" customFormat="1" ht="13.35" customHeight="1"/>
    <row r="480" s="29" customFormat="1" ht="13.35" customHeight="1"/>
    <row r="481" s="29" customFormat="1" ht="13.35" customHeight="1"/>
    <row r="482" s="29" customFormat="1" ht="13.35" customHeight="1"/>
    <row r="483" s="29" customFormat="1" ht="13.35" customHeight="1"/>
    <row r="484" s="29" customFormat="1" ht="13.35" customHeight="1"/>
    <row r="485" s="29" customFormat="1" ht="13.35" customHeight="1"/>
    <row r="486" s="29" customFormat="1" ht="13.35" customHeight="1"/>
    <row r="487" s="29" customFormat="1" ht="13.35" customHeight="1"/>
    <row r="488" s="29" customFormat="1" ht="13.35" customHeight="1"/>
    <row r="489" s="29" customFormat="1" ht="13.35" customHeight="1"/>
    <row r="490" s="29" customFormat="1" ht="13.35" customHeight="1"/>
    <row r="491" s="29" customFormat="1" ht="13.35" customHeight="1"/>
    <row r="492" s="29" customFormat="1" ht="13.35" customHeight="1"/>
    <row r="493" s="29" customFormat="1" ht="13.35" customHeight="1"/>
    <row r="494" s="29" customFormat="1" ht="13.35" customHeight="1"/>
    <row r="495" s="29" customFormat="1" ht="13.35" customHeight="1"/>
    <row r="496" s="29" customFormat="1" ht="13.35" customHeight="1"/>
    <row r="497" s="29" customFormat="1" ht="13.35" customHeight="1"/>
    <row r="498" s="29" customFormat="1" ht="13.35" customHeight="1"/>
    <row r="499" s="29" customFormat="1" ht="13.35" customHeight="1"/>
    <row r="500" s="29" customFormat="1" ht="13.35" customHeight="1"/>
    <row r="501" s="29" customFormat="1" ht="13.35" customHeight="1"/>
    <row r="502" s="29" customFormat="1" ht="13.35" customHeight="1"/>
    <row r="503" s="29" customFormat="1" ht="13.35" customHeight="1"/>
    <row r="504" s="29" customFormat="1" ht="13.35" customHeight="1"/>
    <row r="505" s="29" customFormat="1" ht="13.35" customHeight="1"/>
    <row r="506" s="29" customFormat="1" ht="13.35" customHeight="1"/>
    <row r="507" s="29" customFormat="1" ht="13.35" customHeight="1"/>
    <row r="508" s="29" customFormat="1" ht="13.35" customHeight="1"/>
    <row r="509" s="29" customFormat="1" ht="13.35" customHeight="1"/>
    <row r="510" s="29" customFormat="1" ht="13.35" customHeight="1"/>
    <row r="511" s="29" customFormat="1" ht="13.35" customHeight="1"/>
    <row r="512" s="29" customFormat="1" ht="13.35" customHeight="1"/>
    <row r="513" s="29" customFormat="1" ht="13.35" customHeight="1"/>
    <row r="514" s="29" customFormat="1" ht="13.35" customHeight="1"/>
    <row r="515" s="29" customFormat="1" ht="13.35" customHeight="1"/>
    <row r="516" s="29" customFormat="1" ht="13.35" customHeight="1"/>
    <row r="517" s="29" customFormat="1" ht="13.35" customHeight="1"/>
    <row r="518" s="29" customFormat="1" ht="13.35" customHeight="1"/>
    <row r="519" s="29" customFormat="1" ht="13.35" customHeight="1"/>
    <row r="520" s="29" customFormat="1" ht="13.35" customHeight="1"/>
    <row r="521" s="29" customFormat="1" ht="13.35" customHeight="1"/>
    <row r="522" s="29" customFormat="1" ht="13.35" customHeight="1"/>
    <row r="523" s="29" customFormat="1" ht="13.35" customHeight="1"/>
    <row r="524" s="29" customFormat="1" ht="13.35" customHeight="1"/>
    <row r="525" s="29" customFormat="1" ht="13.35" customHeight="1"/>
    <row r="526" s="29" customFormat="1" ht="13.35" customHeight="1"/>
    <row r="527" s="29" customFormat="1" ht="13.35" customHeight="1"/>
    <row r="528" s="29" customFormat="1" ht="13.35" customHeight="1"/>
    <row r="529" s="29" customFormat="1" ht="13.35" customHeight="1"/>
    <row r="530" s="29" customFormat="1" ht="13.35" customHeight="1"/>
    <row r="531" s="29" customFormat="1" ht="13.35" customHeight="1"/>
    <row r="532" s="29" customFormat="1" ht="13.35" customHeight="1"/>
    <row r="533" s="29" customFormat="1" ht="13.35" customHeight="1"/>
    <row r="534" s="29" customFormat="1" ht="13.35" customHeight="1"/>
    <row r="535" s="29" customFormat="1" ht="13.35" customHeight="1"/>
    <row r="536" s="29" customFormat="1" ht="13.35" customHeight="1"/>
    <row r="537" s="29" customFormat="1" ht="13.35" customHeight="1"/>
    <row r="538" s="29" customFormat="1" ht="13.35" customHeight="1"/>
    <row r="539" s="29" customFormat="1" ht="13.35" customHeight="1"/>
    <row r="540" s="29" customFormat="1" ht="13.35" customHeight="1"/>
    <row r="541" s="29" customFormat="1" ht="13.35" customHeight="1"/>
    <row r="542" s="29" customFormat="1" ht="13.35" customHeight="1"/>
    <row r="543" s="29" customFormat="1" ht="13.35" customHeight="1"/>
    <row r="544" s="29" customFormat="1" ht="13.35" customHeight="1"/>
    <row r="545" s="29" customFormat="1" ht="13.35" customHeight="1"/>
    <row r="546" s="29" customFormat="1" ht="13.35" customHeight="1"/>
    <row r="547" s="29" customFormat="1" ht="13.35" customHeight="1"/>
    <row r="548" s="29" customFormat="1" ht="13.35" customHeight="1"/>
    <row r="549" s="29" customFormat="1" ht="13.35" customHeight="1"/>
    <row r="550" s="29" customFormat="1" ht="13.35" customHeight="1"/>
    <row r="551" s="29" customFormat="1" ht="13.35" customHeight="1"/>
    <row r="552" s="29" customFormat="1" ht="13.35" customHeight="1"/>
    <row r="553" s="29" customFormat="1" ht="13.35" customHeight="1"/>
    <row r="554" s="29" customFormat="1" ht="13.35" customHeight="1"/>
    <row r="555" s="29" customFormat="1" ht="13.35" customHeight="1"/>
    <row r="556" s="29" customFormat="1" ht="13.35" customHeight="1"/>
    <row r="557" s="29" customFormat="1" ht="13.35" customHeight="1"/>
    <row r="558" s="29" customFormat="1" ht="13.35" customHeight="1"/>
    <row r="559" s="29" customFormat="1" ht="13.35" customHeight="1"/>
    <row r="560" s="29" customFormat="1" ht="13.35" customHeight="1"/>
    <row r="561" s="29" customFormat="1" ht="13.35" customHeight="1"/>
    <row r="562" s="29" customFormat="1" ht="13.35" customHeight="1"/>
    <row r="563" s="29" customFormat="1" ht="13.35" customHeight="1"/>
    <row r="564" s="29" customFormat="1" ht="13.35" customHeight="1"/>
    <row r="565" s="29" customFormat="1" ht="13.35" customHeight="1"/>
    <row r="566" s="29" customFormat="1" ht="13.35" customHeight="1"/>
    <row r="567" s="29" customFormat="1" ht="13.35" customHeight="1"/>
    <row r="568" s="29" customFormat="1" ht="13.35" customHeight="1"/>
    <row r="569" s="29" customFormat="1" ht="13.35" customHeight="1"/>
    <row r="570" s="29" customFormat="1" ht="13.35" customHeight="1"/>
    <row r="571" s="29" customFormat="1" ht="13.35" customHeight="1"/>
    <row r="572" s="29" customFormat="1" ht="13.35" customHeight="1"/>
    <row r="573" s="29" customFormat="1" ht="13.35" customHeight="1"/>
    <row r="574" s="29" customFormat="1" ht="13.35" customHeight="1"/>
    <row r="575" s="29" customFormat="1" ht="13.35" customHeight="1"/>
    <row r="576" s="29" customFormat="1" ht="13.35" customHeight="1"/>
    <row r="577" s="29" customFormat="1" ht="13.35" customHeight="1"/>
    <row r="578" s="29" customFormat="1" ht="13.35" customHeight="1"/>
    <row r="579" s="29" customFormat="1" ht="13.35" customHeight="1"/>
    <row r="580" s="29" customFormat="1" ht="13.35" customHeight="1"/>
    <row r="581" s="29" customFormat="1" ht="13.35" customHeight="1"/>
    <row r="582" s="29" customFormat="1" ht="13.35" customHeight="1"/>
    <row r="583" s="29" customFormat="1" ht="13.35" customHeight="1"/>
    <row r="584" s="29" customFormat="1" ht="13.35" customHeight="1"/>
    <row r="585" s="29" customFormat="1" ht="13.35" customHeight="1"/>
    <row r="586" s="29" customFormat="1" ht="13.35" customHeight="1"/>
    <row r="587" s="29" customFormat="1" ht="13.35" customHeight="1"/>
    <row r="588" s="29" customFormat="1" ht="13.35" customHeight="1"/>
    <row r="589" s="29" customFormat="1" ht="13.35" customHeight="1"/>
    <row r="590" s="29" customFormat="1" ht="13.35" customHeight="1"/>
    <row r="591" s="29" customFormat="1" ht="13.35" customHeight="1"/>
    <row r="592" s="29" customFormat="1" ht="13.35" customHeight="1"/>
    <row r="593" s="29" customFormat="1" ht="13.35" customHeight="1"/>
    <row r="594" s="29" customFormat="1" ht="13.35" customHeight="1"/>
    <row r="595" s="29" customFormat="1" ht="13.35" customHeight="1"/>
    <row r="596" s="29" customFormat="1" ht="13.35" customHeight="1"/>
    <row r="597" s="29" customFormat="1" ht="13.35" customHeight="1"/>
    <row r="598" s="29" customFormat="1" ht="13.35" customHeight="1"/>
    <row r="599" s="29" customFormat="1" ht="13.35" customHeight="1"/>
    <row r="600" s="29" customFormat="1" ht="13.35" customHeight="1"/>
    <row r="601" s="29" customFormat="1" ht="13.35" customHeight="1"/>
    <row r="602" s="29" customFormat="1" ht="13.35" customHeight="1"/>
    <row r="603" s="29" customFormat="1" ht="13.35" customHeight="1"/>
    <row r="604" s="29" customFormat="1" ht="13.35" customHeight="1"/>
    <row r="605" s="29" customFormat="1" ht="13.35" customHeight="1"/>
    <row r="606" s="29" customFormat="1" ht="13.35" customHeight="1"/>
    <row r="607" s="29" customFormat="1" ht="13.35" customHeight="1"/>
    <row r="608" s="29" customFormat="1" ht="13.35" customHeight="1"/>
    <row r="609" s="29" customFormat="1" ht="13.35" customHeight="1"/>
    <row r="610" s="29" customFormat="1" ht="13.35" customHeight="1"/>
    <row r="611" s="29" customFormat="1" ht="13.35" customHeight="1"/>
    <row r="612" s="29" customFormat="1" ht="13.35" customHeight="1"/>
    <row r="613" s="29" customFormat="1" ht="13.35" customHeight="1"/>
    <row r="614" s="29" customFormat="1" ht="13.35" customHeight="1"/>
    <row r="615" s="29" customFormat="1" ht="13.35" customHeight="1"/>
    <row r="616" s="29" customFormat="1" ht="13.35" customHeight="1"/>
    <row r="617" s="29" customFormat="1" ht="13.35" customHeight="1"/>
    <row r="618" s="29" customFormat="1" ht="13.35" customHeight="1"/>
    <row r="619" s="29" customFormat="1" ht="13.35" customHeight="1"/>
    <row r="620" s="29" customFormat="1" ht="13.35" customHeight="1"/>
    <row r="621" s="29" customFormat="1" ht="13.35" customHeight="1"/>
    <row r="622" s="29" customFormat="1" ht="13.35" customHeight="1"/>
    <row r="623" s="29" customFormat="1" ht="13.35" customHeight="1"/>
    <row r="624" s="29" customFormat="1" ht="13.35" customHeight="1"/>
    <row r="625" s="29" customFormat="1" ht="13.35" customHeight="1"/>
    <row r="626" s="29" customFormat="1" ht="13.35" customHeight="1"/>
    <row r="627" s="29" customFormat="1" ht="13.35" customHeight="1"/>
    <row r="628" s="29" customFormat="1" ht="13.35" customHeight="1"/>
    <row r="629" s="29" customFormat="1" ht="13.35" customHeight="1"/>
    <row r="630" s="29" customFormat="1" ht="13.35" customHeight="1"/>
    <row r="631" s="29" customFormat="1" ht="13.35" customHeight="1"/>
    <row r="632" s="29" customFormat="1" ht="13.35" customHeight="1"/>
    <row r="633" s="29" customFormat="1" ht="13.35" customHeight="1"/>
    <row r="634" s="29" customFormat="1" ht="13.35" customHeight="1"/>
    <row r="635" s="29" customFormat="1" ht="13.35" customHeight="1"/>
    <row r="636" s="29" customFormat="1" ht="13.35" customHeight="1"/>
    <row r="637" s="29" customFormat="1" ht="13.35" customHeight="1"/>
    <row r="638" s="29" customFormat="1" ht="13.35" customHeight="1"/>
    <row r="639" s="29" customFormat="1" ht="13.35" customHeight="1"/>
    <row r="640" s="29" customFormat="1" ht="13.35" customHeight="1"/>
    <row r="641" s="29" customFormat="1" ht="13.35" customHeight="1"/>
    <row r="642" s="29" customFormat="1" ht="13.35" customHeight="1"/>
    <row r="643" s="29" customFormat="1" ht="13.35" customHeight="1"/>
    <row r="644" s="29" customFormat="1" ht="13.35" customHeight="1"/>
    <row r="645" s="29" customFormat="1" ht="13.35" customHeight="1"/>
    <row r="646" s="29" customFormat="1" ht="13.35" customHeight="1"/>
    <row r="647" s="29" customFormat="1" ht="13.35" customHeight="1"/>
    <row r="648" s="29" customFormat="1" ht="13.35" customHeight="1"/>
    <row r="649" s="29" customFormat="1" ht="13.35" customHeight="1"/>
    <row r="650" s="29" customFormat="1" ht="13.35" customHeight="1"/>
    <row r="651" s="29" customFormat="1" ht="13.35" customHeight="1"/>
    <row r="652" s="29" customFormat="1" ht="13.35" customHeight="1"/>
    <row r="653" s="29" customFormat="1" ht="13.35" customHeight="1"/>
    <row r="654" s="29" customFormat="1" ht="13.35" customHeight="1"/>
    <row r="655" s="29" customFormat="1" ht="13.35" customHeight="1"/>
    <row r="656" s="29" customFormat="1" ht="13.35" customHeight="1"/>
    <row r="657" s="29" customFormat="1" ht="13.35" customHeight="1"/>
    <row r="658" s="29" customFormat="1" ht="13.35" customHeight="1"/>
    <row r="659" s="29" customFormat="1" ht="13.35" customHeight="1"/>
    <row r="660" s="29" customFormat="1" ht="13.35" customHeight="1"/>
    <row r="661" s="29" customFormat="1" ht="13.35" customHeight="1"/>
    <row r="662" s="29" customFormat="1" ht="13.35" customHeight="1"/>
    <row r="663" s="29" customFormat="1" ht="13.35" customHeight="1"/>
    <row r="664" s="29" customFormat="1" ht="13.35" customHeight="1"/>
    <row r="665" s="29" customFormat="1" ht="13.35" customHeight="1"/>
    <row r="666" s="29" customFormat="1" ht="13.35" customHeight="1"/>
    <row r="667" s="29" customFormat="1" ht="13.35" customHeight="1"/>
    <row r="668" s="29" customFormat="1" ht="13.35" customHeight="1"/>
    <row r="669" s="29" customFormat="1" ht="13.35" customHeight="1"/>
    <row r="670" s="29" customFormat="1" ht="13.35" customHeight="1"/>
    <row r="671" s="29" customFormat="1" ht="13.35" customHeight="1"/>
    <row r="672" s="29" customFormat="1" ht="13.35" customHeight="1"/>
    <row r="673" s="29" customFormat="1" ht="13.35" customHeight="1"/>
    <row r="674" s="29" customFormat="1" ht="13.35" customHeight="1"/>
    <row r="675" s="29" customFormat="1" ht="13.35" customHeight="1"/>
    <row r="676" s="29" customFormat="1" ht="13.35" customHeight="1"/>
    <row r="677" s="29" customFormat="1" ht="13.35" customHeight="1"/>
    <row r="678" s="29" customFormat="1" ht="13.35" customHeight="1"/>
    <row r="679" s="29" customFormat="1" ht="13.35" customHeight="1"/>
    <row r="680" s="29" customFormat="1" ht="13.35" customHeight="1"/>
    <row r="681" s="29" customFormat="1" ht="13.35" customHeight="1"/>
    <row r="682" s="29" customFormat="1" ht="13.35" customHeight="1"/>
    <row r="683" s="29" customFormat="1" ht="13.35" customHeight="1"/>
    <row r="684" s="29" customFormat="1" ht="13.35" customHeight="1"/>
    <row r="685" s="29" customFormat="1" ht="13.35" customHeight="1"/>
    <row r="686" s="29" customFormat="1" ht="13.35" customHeight="1"/>
    <row r="687" s="29" customFormat="1" ht="13.35" customHeight="1"/>
    <row r="688" s="29" customFormat="1" ht="13.35" customHeight="1"/>
    <row r="689" s="29" customFormat="1" ht="13.35" customHeight="1"/>
    <row r="690" s="29" customFormat="1" ht="13.35" customHeight="1"/>
    <row r="691" s="29" customFormat="1" ht="13.35" customHeight="1"/>
    <row r="692" s="29" customFormat="1" ht="13.35" customHeight="1"/>
    <row r="693" s="29" customFormat="1" ht="13.35" customHeight="1"/>
    <row r="694" s="29" customFormat="1" ht="13.35" customHeight="1"/>
    <row r="695" s="29" customFormat="1" ht="13.35" customHeight="1"/>
    <row r="696" s="29" customFormat="1" ht="13.35" customHeight="1"/>
    <row r="697" s="29" customFormat="1" ht="13.35" customHeight="1"/>
    <row r="698" s="29" customFormat="1" ht="13.35" customHeight="1"/>
    <row r="699" s="29" customFormat="1" ht="13.35" customHeight="1"/>
    <row r="700" s="29" customFormat="1" ht="13.35" customHeight="1"/>
    <row r="701" s="29" customFormat="1" ht="13.35" customHeight="1"/>
    <row r="702" s="29" customFormat="1" ht="13.35" customHeight="1"/>
    <row r="703" s="29" customFormat="1" ht="13.35" customHeight="1"/>
    <row r="704" s="29" customFormat="1" ht="13.35" customHeight="1"/>
    <row r="705" s="29" customFormat="1" ht="13.35" customHeight="1"/>
    <row r="706" s="29" customFormat="1" ht="13.35" customHeight="1"/>
    <row r="707" s="29" customFormat="1" ht="13.35" customHeight="1"/>
    <row r="708" s="29" customFormat="1" ht="13.35" customHeight="1"/>
    <row r="709" s="29" customFormat="1" ht="13.35" customHeight="1"/>
    <row r="710" s="29" customFormat="1" ht="13.35" customHeight="1"/>
    <row r="711" s="29" customFormat="1" ht="13.35" customHeight="1"/>
    <row r="712" s="29" customFormat="1" ht="13.35" customHeight="1"/>
    <row r="713" s="29" customFormat="1" ht="13.35" customHeight="1"/>
    <row r="714" s="29" customFormat="1" ht="13.35" customHeight="1"/>
    <row r="715" s="29" customFormat="1" ht="13.35" customHeight="1"/>
    <row r="716" s="29" customFormat="1" ht="13.35" customHeight="1"/>
    <row r="717" s="29" customFormat="1" ht="13.35" customHeight="1"/>
    <row r="718" s="29" customFormat="1" ht="13.35" customHeight="1"/>
    <row r="719" s="29" customFormat="1" ht="13.35" customHeight="1"/>
    <row r="720" s="29" customFormat="1" ht="13.35" customHeight="1"/>
    <row r="721" s="29" customFormat="1" ht="13.35" customHeight="1"/>
    <row r="722" s="29" customFormat="1" ht="13.35" customHeight="1"/>
    <row r="723" s="29" customFormat="1" ht="13.35" customHeight="1"/>
    <row r="724" s="29" customFormat="1" ht="13.35" customHeight="1"/>
    <row r="725" s="29" customFormat="1" ht="13.35" customHeight="1"/>
    <row r="726" s="29" customFormat="1" ht="13.35" customHeight="1"/>
    <row r="727" s="29" customFormat="1" ht="13.35" customHeight="1"/>
    <row r="728" s="29" customFormat="1" ht="13.35" customHeight="1"/>
    <row r="729" s="29" customFormat="1" ht="13.35" customHeight="1"/>
    <row r="730" s="29" customFormat="1" ht="13.35" customHeight="1"/>
    <row r="731" s="29" customFormat="1" ht="13.35" customHeight="1"/>
    <row r="732" s="29" customFormat="1" ht="13.35" customHeight="1"/>
    <row r="733" s="29" customFormat="1" ht="13.35" customHeight="1"/>
    <row r="734" s="29" customFormat="1" ht="13.35" customHeight="1"/>
    <row r="735" s="29" customFormat="1" ht="13.35" customHeight="1"/>
    <row r="736" s="29" customFormat="1" ht="13.35" customHeight="1"/>
    <row r="737" s="29" customFormat="1" ht="13.35" customHeight="1"/>
    <row r="738" s="29" customFormat="1" ht="13.35" customHeight="1"/>
    <row r="739" s="29" customFormat="1" ht="13.35" customHeight="1"/>
    <row r="740" s="29" customFormat="1" ht="13.35" customHeight="1"/>
    <row r="741" s="29" customFormat="1" ht="13.35" customHeight="1"/>
    <row r="742" s="29" customFormat="1" ht="13.35" customHeight="1"/>
    <row r="743" s="29" customFormat="1" ht="13.35" customHeight="1"/>
    <row r="744" s="29" customFormat="1" ht="13.35" customHeight="1"/>
    <row r="745" s="29" customFormat="1" ht="13.35" customHeight="1"/>
    <row r="746" s="29" customFormat="1" ht="13.35" customHeight="1"/>
    <row r="747" s="29" customFormat="1" ht="13.35" customHeight="1"/>
    <row r="748" s="29" customFormat="1" ht="13.35" customHeight="1"/>
    <row r="749" s="29" customFormat="1" ht="13.35" customHeight="1"/>
    <row r="750" s="29" customFormat="1" ht="13.35" customHeight="1"/>
    <row r="751" s="29" customFormat="1" ht="13.35" customHeight="1"/>
    <row r="752" s="29" customFormat="1" ht="13.35" customHeight="1"/>
    <row r="753" s="29" customFormat="1" ht="13.35" customHeight="1"/>
    <row r="754" s="29" customFormat="1" ht="13.35" customHeight="1"/>
    <row r="755" s="29" customFormat="1" ht="13.35" customHeight="1"/>
    <row r="756" s="29" customFormat="1" ht="13.35" customHeight="1"/>
    <row r="757" s="29" customFormat="1" ht="13.35" customHeight="1"/>
    <row r="758" s="29" customFormat="1" ht="13.35" customHeight="1"/>
    <row r="759" s="29" customFormat="1" ht="13.35" customHeight="1"/>
    <row r="760" s="29" customFormat="1" ht="13.35" customHeight="1"/>
    <row r="761" s="29" customFormat="1" ht="13.35" customHeight="1"/>
    <row r="762" s="29" customFormat="1" ht="13.35" customHeight="1"/>
    <row r="763" s="29" customFormat="1" ht="13.35" customHeight="1"/>
    <row r="764" s="29" customFormat="1" ht="13.35" customHeight="1"/>
    <row r="765" s="29" customFormat="1" ht="13.35" customHeight="1"/>
    <row r="766" s="29" customFormat="1" ht="13.35" customHeight="1"/>
    <row r="767" s="29" customFormat="1" ht="13.35" customHeight="1"/>
    <row r="768" s="29" customFormat="1" ht="13.35" customHeight="1"/>
    <row r="769" s="29" customFormat="1" ht="13.35" customHeight="1"/>
    <row r="770" s="29" customFormat="1" ht="13.35" customHeight="1"/>
    <row r="771" s="29" customFormat="1" ht="13.35" customHeight="1"/>
    <row r="772" s="29" customFormat="1" ht="13.35" customHeight="1"/>
    <row r="773" s="29" customFormat="1" ht="13.35" customHeight="1"/>
    <row r="774" s="29" customFormat="1" ht="13.35" customHeight="1"/>
    <row r="775" s="29" customFormat="1" ht="13.35" customHeight="1"/>
    <row r="776" s="29" customFormat="1" ht="13.35" customHeight="1"/>
    <row r="777" s="29" customFormat="1" ht="13.35" customHeight="1"/>
    <row r="778" s="29" customFormat="1" ht="13.35" customHeight="1"/>
    <row r="779" s="29" customFormat="1" ht="13.35" customHeight="1"/>
    <row r="780" s="29" customFormat="1" ht="13.35" customHeight="1"/>
    <row r="781" s="29" customFormat="1" ht="13.35" customHeight="1"/>
    <row r="782" s="29" customFormat="1" ht="13.35" customHeight="1"/>
    <row r="783" s="29" customFormat="1" ht="13.35" customHeight="1"/>
    <row r="784" s="29" customFormat="1" ht="13.35" customHeight="1"/>
    <row r="785" s="29" customFormat="1" ht="13.35" customHeight="1"/>
    <row r="786" s="29" customFormat="1" ht="13.35" customHeight="1"/>
    <row r="787" s="29" customFormat="1" ht="13.35" customHeight="1"/>
    <row r="788" s="29" customFormat="1" ht="13.35" customHeight="1"/>
    <row r="789" s="29" customFormat="1" ht="13.35" customHeight="1"/>
    <row r="790" s="29" customFormat="1" ht="13.35" customHeight="1"/>
    <row r="791" s="29" customFormat="1" ht="13.35" customHeight="1"/>
    <row r="792" s="29" customFormat="1" ht="13.35" customHeight="1"/>
    <row r="793" s="29" customFormat="1" ht="13.35" customHeight="1"/>
    <row r="794" s="29" customFormat="1" ht="13.35" customHeight="1"/>
    <row r="795" s="29" customFormat="1" ht="13.35" customHeight="1"/>
    <row r="796" s="29" customFormat="1" ht="13.35" customHeight="1"/>
    <row r="797" s="29" customFormat="1" ht="13.35" customHeight="1"/>
    <row r="798" s="29" customFormat="1" ht="13.35" customHeight="1"/>
    <row r="799" s="29" customFormat="1" ht="13.35" customHeight="1"/>
    <row r="800" s="29" customFormat="1" ht="13.35" customHeight="1"/>
    <row r="801" s="29" customFormat="1" ht="13.35" customHeight="1"/>
    <row r="802" s="29" customFormat="1" ht="13.35" customHeight="1"/>
    <row r="803" s="29" customFormat="1" ht="13.35" customHeight="1"/>
    <row r="804" s="29" customFormat="1" ht="13.35" customHeight="1"/>
    <row r="805" s="29" customFormat="1" ht="13.35" customHeight="1"/>
    <row r="806" s="29" customFormat="1" ht="13.35" customHeight="1"/>
    <row r="807" s="29" customFormat="1" ht="13.35" customHeight="1"/>
    <row r="808" s="29" customFormat="1" ht="13.35" customHeight="1"/>
    <row r="809" s="29" customFormat="1" ht="13.35" customHeight="1"/>
    <row r="810" s="29" customFormat="1" ht="13.35" customHeight="1"/>
    <row r="811" s="29" customFormat="1" ht="13.35" customHeight="1"/>
    <row r="812" s="29" customFormat="1" ht="13.35" customHeight="1"/>
    <row r="813" s="29" customFormat="1" ht="13.35" customHeight="1"/>
    <row r="814" s="29" customFormat="1" ht="13.35" customHeight="1"/>
    <row r="815" s="29" customFormat="1" ht="13.35" customHeight="1"/>
    <row r="816" s="29" customFormat="1" ht="13.35" customHeight="1"/>
    <row r="817" s="29" customFormat="1" ht="13.35" customHeight="1"/>
    <row r="818" s="29" customFormat="1" ht="13.35" customHeight="1"/>
    <row r="819" s="29" customFormat="1" ht="13.35" customHeight="1"/>
    <row r="820" s="29" customFormat="1" ht="13.35" customHeight="1"/>
    <row r="821" s="29" customFormat="1" ht="13.35" customHeight="1"/>
    <row r="822" s="29" customFormat="1" ht="13.35" customHeight="1"/>
    <row r="823" s="29" customFormat="1" ht="13.35" customHeight="1"/>
    <row r="824" s="29" customFormat="1" ht="13.35" customHeight="1"/>
    <row r="825" s="29" customFormat="1" ht="13.35" customHeight="1"/>
    <row r="826" s="29" customFormat="1" ht="13.35" customHeight="1"/>
    <row r="827" s="29" customFormat="1" ht="13.35" customHeight="1"/>
    <row r="828" s="29" customFormat="1" ht="13.35" customHeight="1"/>
    <row r="829" s="29" customFormat="1" ht="13.35" customHeight="1"/>
    <row r="830" s="29" customFormat="1" ht="13.35" customHeight="1"/>
    <row r="831" s="29" customFormat="1" ht="13.35" customHeight="1"/>
    <row r="832" s="29" customFormat="1" ht="13.35" customHeight="1"/>
    <row r="833" s="29" customFormat="1" ht="13.35" customHeight="1"/>
    <row r="834" s="29" customFormat="1" ht="13.35" customHeight="1"/>
    <row r="835" s="29" customFormat="1" ht="13.35" customHeight="1"/>
    <row r="836" s="29" customFormat="1" ht="13.35" customHeight="1"/>
    <row r="837" s="29" customFormat="1" ht="13.35" customHeight="1"/>
    <row r="838" s="29" customFormat="1" ht="13.35" customHeight="1"/>
    <row r="839" s="29" customFormat="1" ht="13.35" customHeight="1"/>
    <row r="840" s="29" customFormat="1" ht="13.35" customHeight="1"/>
    <row r="841" s="29" customFormat="1" ht="13.35" customHeight="1"/>
    <row r="842" s="29" customFormat="1" ht="13.35" customHeight="1"/>
    <row r="843" s="29" customFormat="1" ht="13.35" customHeight="1"/>
    <row r="844" s="29" customFormat="1" ht="13.35" customHeight="1"/>
    <row r="845" s="29" customFormat="1" ht="13.35" customHeight="1"/>
    <row r="846" s="29" customFormat="1" ht="13.35" customHeight="1"/>
    <row r="847" s="29" customFormat="1" ht="13.35" customHeight="1"/>
    <row r="848" s="29" customFormat="1" ht="13.35" customHeight="1"/>
    <row r="849" s="29" customFormat="1" ht="13.35" customHeight="1"/>
    <row r="850" s="29" customFormat="1" ht="13.35" customHeight="1"/>
    <row r="851" s="29" customFormat="1" ht="13.35" customHeight="1"/>
    <row r="852" s="29" customFormat="1" ht="13.35" customHeight="1"/>
    <row r="853" s="29" customFormat="1" ht="13.35" customHeight="1"/>
    <row r="854" s="29" customFormat="1" ht="13.35" customHeight="1"/>
    <row r="855" s="29" customFormat="1" ht="13.35" customHeight="1"/>
    <row r="856" s="29" customFormat="1" ht="13.35" customHeight="1"/>
    <row r="857" s="29" customFormat="1" ht="13.35" customHeight="1"/>
    <row r="858" s="29" customFormat="1" ht="13.35" customHeight="1"/>
    <row r="859" s="29" customFormat="1" ht="13.35" customHeight="1"/>
    <row r="860" s="29" customFormat="1" ht="13.35" customHeight="1"/>
    <row r="861" s="29" customFormat="1" ht="13.35" customHeight="1"/>
    <row r="862" s="29" customFormat="1" ht="13.35" customHeight="1"/>
    <row r="863" s="29" customFormat="1" ht="13.35" customHeight="1"/>
    <row r="864" s="29" customFormat="1" ht="13.35" customHeight="1"/>
    <row r="865" s="29" customFormat="1" ht="13.35" customHeight="1"/>
    <row r="866" s="29" customFormat="1" ht="13.35" customHeight="1"/>
    <row r="867" s="29" customFormat="1" ht="13.35" customHeight="1"/>
    <row r="868" s="29" customFormat="1" ht="13.35" customHeight="1"/>
    <row r="869" s="29" customFormat="1" ht="13.35" customHeight="1"/>
    <row r="870" s="29" customFormat="1" ht="13.35" customHeight="1"/>
    <row r="871" s="29" customFormat="1" ht="13.35" customHeight="1"/>
    <row r="872" s="29" customFormat="1" ht="13.35" customHeight="1"/>
    <row r="873" s="29" customFormat="1" ht="13.35" customHeight="1"/>
    <row r="874" s="29" customFormat="1" ht="13.35" customHeight="1"/>
    <row r="875" s="29" customFormat="1" ht="13.35" customHeight="1"/>
    <row r="876" s="29" customFormat="1" ht="13.35" customHeight="1"/>
    <row r="877" s="29" customFormat="1" ht="13.35" customHeight="1"/>
    <row r="878" s="29" customFormat="1" ht="13.35" customHeight="1"/>
    <row r="879" s="29" customFormat="1" ht="13.35" customHeight="1"/>
    <row r="880" s="29" customFormat="1" ht="13.35" customHeight="1"/>
    <row r="881" s="29" customFormat="1" ht="13.35" customHeight="1"/>
    <row r="882" s="29" customFormat="1" ht="13.35" customHeight="1"/>
    <row r="883" s="29" customFormat="1" ht="13.35" customHeight="1"/>
    <row r="884" s="29" customFormat="1" ht="13.35" customHeight="1"/>
    <row r="885" s="29" customFormat="1" ht="13.35" customHeight="1"/>
    <row r="886" s="29" customFormat="1" ht="13.35" customHeight="1"/>
    <row r="887" s="29" customFormat="1" ht="13.35" customHeight="1"/>
    <row r="888" s="29" customFormat="1" ht="13.35" customHeight="1"/>
    <row r="889" s="29" customFormat="1" ht="13.35" customHeight="1"/>
    <row r="890" s="29" customFormat="1" ht="13.35" customHeight="1"/>
    <row r="891" s="29" customFormat="1" ht="13.35" customHeight="1"/>
    <row r="892" s="29" customFormat="1" ht="13.35" customHeight="1"/>
    <row r="893" s="29" customFormat="1" ht="13.35" customHeight="1"/>
    <row r="894" s="29" customFormat="1" ht="13.35" customHeight="1"/>
    <row r="895" s="29" customFormat="1" ht="13.35" customHeight="1"/>
    <row r="896" s="29" customFormat="1" ht="13.35" customHeight="1"/>
    <row r="897" s="29" customFormat="1" ht="13.35" customHeight="1"/>
    <row r="898" s="29" customFormat="1" ht="13.35" customHeight="1"/>
    <row r="899" s="29" customFormat="1" ht="13.35" customHeight="1"/>
    <row r="900" s="29" customFormat="1" ht="13.35" customHeight="1"/>
    <row r="901" s="29" customFormat="1" ht="13.35" customHeight="1"/>
    <row r="902" s="29" customFormat="1" ht="13.35" customHeight="1"/>
    <row r="903" s="29" customFormat="1" ht="13.35" customHeight="1"/>
    <row r="904" s="29" customFormat="1" ht="13.35" customHeight="1"/>
    <row r="905" s="29" customFormat="1" ht="13.35" customHeight="1"/>
    <row r="906" s="29" customFormat="1" ht="13.35" customHeight="1"/>
    <row r="907" s="29" customFormat="1" ht="13.35" customHeight="1"/>
    <row r="908" s="29" customFormat="1" ht="13.35" customHeight="1"/>
    <row r="909" s="29" customFormat="1" ht="13.35" customHeight="1"/>
    <row r="910" s="29" customFormat="1" ht="13.35" customHeight="1"/>
    <row r="911" s="29" customFormat="1" ht="13.35" customHeight="1"/>
    <row r="912" s="29" customFormat="1" ht="13.35" customHeight="1"/>
    <row r="913" s="29" customFormat="1" ht="13.35" customHeight="1"/>
    <row r="914" s="29" customFormat="1" ht="13.35" customHeight="1"/>
    <row r="915" s="29" customFormat="1" ht="13.35" customHeight="1"/>
    <row r="916" s="29" customFormat="1" ht="13.35" customHeight="1"/>
    <row r="917" s="29" customFormat="1" ht="13.35" customHeight="1"/>
    <row r="918" s="29" customFormat="1" ht="13.35" customHeight="1"/>
    <row r="919" s="29" customFormat="1" ht="13.35" customHeight="1"/>
    <row r="920" s="29" customFormat="1" ht="13.35" customHeight="1"/>
    <row r="921" s="29" customFormat="1" ht="13.35" customHeight="1"/>
    <row r="922" s="29" customFormat="1" ht="13.35" customHeight="1"/>
    <row r="923" s="29" customFormat="1" ht="13.35" customHeight="1"/>
    <row r="924" s="29" customFormat="1" ht="13.35" customHeight="1"/>
    <row r="925" s="29" customFormat="1" ht="13.35" customHeight="1"/>
    <row r="926" s="29" customFormat="1" ht="13.35" customHeight="1"/>
    <row r="927" s="29" customFormat="1" ht="13.35" customHeight="1"/>
    <row r="928" s="29" customFormat="1" ht="13.35" customHeight="1"/>
    <row r="929" s="29" customFormat="1" ht="13.35" customHeight="1"/>
    <row r="930" s="29" customFormat="1" ht="13.35" customHeight="1"/>
    <row r="931" s="29" customFormat="1" ht="13.35" customHeight="1"/>
    <row r="932" s="29" customFormat="1" ht="13.35" customHeight="1"/>
    <row r="933" s="29" customFormat="1" ht="13.35" customHeight="1"/>
    <row r="934" s="29" customFormat="1" ht="13.35" customHeight="1"/>
    <row r="935" s="29" customFormat="1" ht="13.35" customHeight="1"/>
    <row r="936" s="29" customFormat="1" ht="13.35" customHeight="1"/>
    <row r="937" s="29" customFormat="1" ht="13.35" customHeight="1"/>
    <row r="938" s="29" customFormat="1" ht="13.35" customHeight="1"/>
    <row r="939" s="29" customFormat="1" ht="13.35" customHeight="1"/>
    <row r="940" s="29" customFormat="1" ht="13.35" customHeight="1"/>
    <row r="941" s="29" customFormat="1" ht="13.35" customHeight="1"/>
    <row r="942" s="29" customFormat="1" ht="13.35" customHeight="1"/>
    <row r="943" s="29" customFormat="1" ht="13.35" customHeight="1"/>
    <row r="944" s="29" customFormat="1" ht="13.35" customHeight="1"/>
    <row r="945" s="29" customFormat="1" ht="13.35" customHeight="1"/>
    <row r="946" s="29" customFormat="1" ht="13.35" customHeight="1"/>
    <row r="947" s="29" customFormat="1" ht="13.35" customHeight="1"/>
    <row r="948" s="29" customFormat="1" ht="13.35" customHeight="1"/>
    <row r="949" s="29" customFormat="1" ht="13.35" customHeight="1"/>
    <row r="950" s="29" customFormat="1" ht="13.35" customHeight="1"/>
    <row r="951" s="29" customFormat="1" ht="13.35" customHeight="1"/>
    <row r="952" s="29" customFormat="1" ht="13.35" customHeight="1"/>
    <row r="953" s="29" customFormat="1" ht="13.35" customHeight="1"/>
    <row r="954" s="29" customFormat="1" ht="13.35" customHeight="1"/>
    <row r="955" s="29" customFormat="1" ht="13.35" customHeight="1"/>
    <row r="956" s="29" customFormat="1" ht="13.35" customHeight="1"/>
    <row r="957" s="29" customFormat="1" ht="13.35" customHeight="1"/>
    <row r="958" s="29" customFormat="1" ht="13.35" customHeight="1"/>
    <row r="959" s="29" customFormat="1" ht="13.35" customHeight="1"/>
    <row r="960" s="29" customFormat="1" ht="13.35" customHeight="1"/>
    <row r="961" s="29" customFormat="1" ht="13.35" customHeight="1"/>
    <row r="962" s="29" customFormat="1" ht="13.35" customHeight="1"/>
    <row r="963" s="29" customFormat="1" ht="13.35" customHeight="1"/>
    <row r="964" s="29" customFormat="1" ht="13.35" customHeight="1"/>
    <row r="965" s="29" customFormat="1" ht="13.35" customHeight="1"/>
    <row r="966" s="29" customFormat="1" ht="13.35" customHeight="1"/>
    <row r="967" s="29" customFormat="1" ht="13.35" customHeight="1"/>
    <row r="968" s="29" customFormat="1" ht="13.35" customHeight="1"/>
    <row r="969" s="29" customFormat="1" ht="13.35" customHeight="1"/>
    <row r="970" s="29" customFormat="1" ht="13.35" customHeight="1"/>
    <row r="971" s="29" customFormat="1" ht="13.35" customHeight="1"/>
    <row r="972" s="29" customFormat="1" ht="13.35" customHeight="1"/>
    <row r="973" s="29" customFormat="1" ht="13.35" customHeight="1"/>
    <row r="974" s="29" customFormat="1" ht="13.35" customHeight="1"/>
    <row r="975" s="29" customFormat="1" ht="13.35" customHeight="1"/>
    <row r="976" s="29" customFormat="1" ht="13.35" customHeight="1"/>
    <row r="977" s="29" customFormat="1" ht="13.35" customHeight="1"/>
    <row r="978" s="29" customFormat="1" ht="13.35" customHeight="1"/>
    <row r="979" s="29" customFormat="1" ht="13.35" customHeight="1"/>
    <row r="980" s="29" customFormat="1" ht="13.35" customHeight="1"/>
    <row r="981" s="29" customFormat="1" ht="13.35" customHeight="1"/>
    <row r="982" s="29" customFormat="1" ht="13.35" customHeight="1"/>
    <row r="983" s="29" customFormat="1" ht="13.35" customHeight="1"/>
    <row r="984" s="29" customFormat="1" ht="13.35" customHeight="1"/>
    <row r="985" s="29" customFormat="1" ht="13.35" customHeight="1"/>
    <row r="986" s="29" customFormat="1" ht="13.35" customHeight="1"/>
    <row r="987" s="29" customFormat="1" ht="13.35" customHeight="1"/>
    <row r="988" s="29" customFormat="1" ht="13.35" customHeight="1"/>
    <row r="989" s="29" customFormat="1" ht="13.35" customHeight="1"/>
    <row r="990" s="29" customFormat="1" ht="13.35" customHeight="1"/>
    <row r="991" s="29" customFormat="1" ht="13.35" customHeight="1"/>
    <row r="992" s="29" customFormat="1" ht="13.35" customHeight="1"/>
    <row r="993" s="29" customFormat="1" ht="13.35" customHeight="1"/>
    <row r="994" s="29" customFormat="1" ht="13.35" customHeight="1"/>
    <row r="995" s="29" customFormat="1" ht="13.35" customHeight="1"/>
    <row r="996" s="29" customFormat="1" ht="13.35" customHeight="1"/>
    <row r="997" s="29" customFormat="1" ht="13.35" customHeight="1"/>
    <row r="998" s="29" customFormat="1" ht="13.35" customHeight="1"/>
    <row r="999" s="29" customFormat="1" ht="13.35" customHeight="1"/>
    <row r="1000" s="29" customFormat="1" ht="13.35" customHeight="1"/>
    <row r="1001" s="29" customFormat="1" ht="13.35" customHeight="1"/>
    <row r="1002" s="29" customFormat="1" ht="13.35" customHeight="1"/>
    <row r="1003" s="29" customFormat="1" ht="13.35" customHeight="1"/>
    <row r="1004" s="29" customFormat="1" ht="13.35" customHeight="1"/>
    <row r="1005" s="29" customFormat="1" ht="13.35" customHeight="1"/>
    <row r="1006" s="29" customFormat="1" ht="13.35" customHeight="1"/>
    <row r="1007" s="29" customFormat="1" ht="13.35" customHeight="1"/>
    <row r="1008" s="29" customFormat="1" ht="13.35" customHeight="1"/>
    <row r="1009" s="29" customFormat="1" ht="13.35" customHeight="1"/>
    <row r="1010" s="29" customFormat="1" ht="13.35" customHeight="1"/>
    <row r="1011" s="29" customFormat="1" ht="13.35" customHeight="1"/>
    <row r="1012" s="29" customFormat="1" ht="13.35" customHeight="1"/>
    <row r="1013" s="29" customFormat="1" ht="13.35" customHeight="1"/>
    <row r="1014" s="29" customFormat="1" ht="13.35" customHeight="1"/>
    <row r="1015" s="29" customFormat="1" ht="13.35" customHeight="1"/>
    <row r="1016" s="29" customFormat="1" ht="13.35" customHeight="1"/>
    <row r="1017" s="29" customFormat="1" ht="13.35" customHeight="1"/>
    <row r="1018" s="29" customFormat="1" ht="13.35" customHeight="1"/>
    <row r="1019" s="29" customFormat="1" ht="13.35" customHeight="1"/>
    <row r="1020" s="29" customFormat="1" ht="13.35" customHeight="1"/>
    <row r="1021" s="29" customFormat="1" ht="13.35" customHeight="1"/>
    <row r="1022" s="29" customFormat="1" ht="13.35" customHeight="1"/>
    <row r="1023" s="29" customFormat="1" ht="13.35" customHeight="1"/>
    <row r="1024" s="29" customFormat="1" ht="13.35" customHeight="1"/>
    <row r="1025" s="29" customFormat="1" ht="13.35" customHeight="1"/>
    <row r="1026" s="29" customFormat="1" ht="13.35" customHeight="1"/>
    <row r="1027" s="29" customFormat="1" ht="13.35" customHeight="1"/>
    <row r="1028" s="29" customFormat="1" ht="13.35" customHeight="1"/>
    <row r="1029" s="29" customFormat="1" ht="13.35" customHeight="1"/>
    <row r="1030" s="29" customFormat="1" ht="13.35" customHeight="1"/>
    <row r="1031" s="29" customFormat="1" ht="13.35" customHeight="1"/>
    <row r="1032" s="29" customFormat="1" ht="13.35" customHeight="1"/>
    <row r="1033" s="29" customFormat="1" ht="13.35" customHeight="1"/>
    <row r="1034" s="29" customFormat="1" ht="13.35" customHeight="1"/>
    <row r="1035" s="29" customFormat="1" ht="13.35" customHeight="1"/>
    <row r="1036" s="29" customFormat="1" ht="13.35" customHeight="1"/>
    <row r="1037" s="29" customFormat="1" ht="13.35" customHeight="1"/>
    <row r="1038" s="29" customFormat="1" ht="13.35" customHeight="1"/>
    <row r="1039" s="29" customFormat="1" ht="13.35" customHeight="1"/>
    <row r="1040" s="29" customFormat="1" ht="13.35" customHeight="1"/>
    <row r="1041" s="29" customFormat="1" ht="13.35" customHeight="1"/>
    <row r="1042" s="29" customFormat="1" ht="13.35" customHeight="1"/>
    <row r="1043" s="29" customFormat="1" ht="13.35" customHeight="1"/>
    <row r="1044" s="29" customFormat="1" ht="13.35" customHeight="1"/>
    <row r="1045" s="29" customFormat="1" ht="13.35" customHeight="1"/>
    <row r="1046" s="29" customFormat="1" ht="13.35" customHeight="1"/>
    <row r="1047" s="29" customFormat="1" ht="13.35" customHeight="1"/>
    <row r="1048" s="29" customFormat="1" ht="13.35" customHeight="1"/>
    <row r="1049" s="29" customFormat="1" ht="13.35" customHeight="1"/>
    <row r="1050" s="29" customFormat="1" ht="13.35" customHeight="1"/>
    <row r="1051" s="29" customFormat="1" ht="13.35" customHeight="1"/>
    <row r="1052" s="29" customFormat="1" ht="13.35" customHeight="1"/>
    <row r="1053" s="29" customFormat="1" ht="13.35" customHeight="1"/>
    <row r="1054" s="29" customFormat="1" ht="13.35" customHeight="1"/>
    <row r="1055" s="29" customFormat="1" ht="13.35" customHeight="1"/>
    <row r="1056" s="29" customFormat="1" ht="13.35" customHeight="1"/>
    <row r="1057" s="29" customFormat="1" ht="13.35" customHeight="1"/>
    <row r="1058" s="29" customFormat="1" ht="13.35" customHeight="1"/>
    <row r="1059" s="29" customFormat="1" ht="13.35" customHeight="1"/>
    <row r="1060" s="29" customFormat="1" ht="13.35" customHeight="1"/>
    <row r="1061" s="29" customFormat="1" ht="13.35" customHeight="1"/>
    <row r="1062" s="29" customFormat="1" ht="13.35" customHeight="1"/>
    <row r="1063" s="29" customFormat="1" ht="13.35" customHeight="1"/>
    <row r="1064" s="29" customFormat="1" ht="13.35" customHeight="1"/>
    <row r="1065" s="29" customFormat="1" ht="13.35" customHeight="1"/>
    <row r="1066" s="29" customFormat="1" ht="13.35" customHeight="1"/>
    <row r="1067" s="29" customFormat="1" ht="13.35" customHeight="1"/>
    <row r="1068" s="29" customFormat="1" ht="13.35" customHeight="1"/>
    <row r="1069" s="29" customFormat="1" ht="13.35" customHeight="1"/>
    <row r="1070" s="29" customFormat="1" ht="13.35" customHeight="1"/>
    <row r="1071" s="29" customFormat="1" ht="13.35" customHeight="1"/>
    <row r="1072" s="29" customFormat="1" ht="13.35" customHeight="1"/>
    <row r="1073" s="29" customFormat="1" ht="13.35" customHeight="1"/>
    <row r="1074" s="29" customFormat="1" ht="13.35" customHeight="1"/>
    <row r="1075" s="29" customFormat="1" ht="13.35" customHeight="1"/>
    <row r="1076" s="29" customFormat="1" ht="13.35" customHeight="1"/>
    <row r="1077" s="29" customFormat="1" ht="13.35" customHeight="1"/>
    <row r="1078" s="29" customFormat="1" ht="13.35" customHeight="1"/>
    <row r="1079" s="29" customFormat="1" ht="13.35" customHeight="1"/>
    <row r="1080" s="29" customFormat="1" ht="13.35" customHeight="1"/>
    <row r="1081" s="29" customFormat="1" ht="13.35" customHeight="1"/>
    <row r="1082" s="29" customFormat="1" ht="13.35" customHeight="1"/>
    <row r="1083" s="29" customFormat="1" ht="13.35" customHeight="1"/>
    <row r="1084" s="29" customFormat="1" ht="13.35" customHeight="1"/>
    <row r="1085" s="29" customFormat="1" ht="13.35" customHeight="1"/>
    <row r="1086" s="29" customFormat="1" ht="13.35" customHeight="1"/>
    <row r="1087" s="29" customFormat="1" ht="13.35" customHeight="1"/>
    <row r="1088" s="29" customFormat="1" ht="13.35" customHeight="1"/>
    <row r="1089" s="29" customFormat="1" ht="13.35" customHeight="1"/>
    <row r="1090" s="29" customFormat="1" ht="13.35" customHeight="1"/>
    <row r="1091" s="29" customFormat="1" ht="13.35" customHeight="1"/>
    <row r="1092" s="29" customFormat="1" ht="13.35" customHeight="1"/>
    <row r="1093" s="29" customFormat="1" ht="13.35" customHeight="1"/>
    <row r="1094" s="29" customFormat="1" ht="13.35" customHeight="1"/>
    <row r="1095" s="29" customFormat="1" ht="13.35" customHeight="1"/>
    <row r="1096" s="29" customFormat="1" ht="13.35" customHeight="1"/>
    <row r="1097" s="29" customFormat="1" ht="13.35" customHeight="1"/>
    <row r="1098" s="29" customFormat="1" ht="13.35" customHeight="1"/>
    <row r="1099" s="29" customFormat="1" ht="13.35" customHeight="1"/>
    <row r="1100" s="29" customFormat="1" ht="13.35" customHeight="1"/>
    <row r="1101" s="29" customFormat="1" ht="13.35" customHeight="1"/>
    <row r="1102" s="29" customFormat="1" ht="13.35" customHeight="1"/>
    <row r="1103" s="29" customFormat="1" ht="13.35" customHeight="1"/>
    <row r="1104" s="29" customFormat="1" ht="13.35" customHeight="1"/>
    <row r="1105" s="29" customFormat="1" ht="13.35" customHeight="1"/>
    <row r="1106" s="29" customFormat="1" ht="13.35" customHeight="1"/>
    <row r="1107" s="29" customFormat="1" ht="13.35" customHeight="1"/>
    <row r="1108" s="29" customFormat="1" ht="13.35" customHeight="1"/>
    <row r="1109" s="29" customFormat="1" ht="13.35" customHeight="1"/>
    <row r="1110" s="29" customFormat="1" ht="13.35" customHeight="1"/>
    <row r="1111" s="29" customFormat="1" ht="13.35" customHeight="1"/>
    <row r="1112" s="29" customFormat="1" ht="13.35" customHeight="1"/>
    <row r="1113" s="29" customFormat="1" ht="13.35" customHeight="1"/>
    <row r="1114" s="29" customFormat="1" ht="13.35" customHeight="1"/>
    <row r="1115" s="29" customFormat="1" ht="13.35" customHeight="1"/>
    <row r="1116" s="29" customFormat="1" ht="13.35" customHeight="1"/>
    <row r="1117" s="29" customFormat="1" ht="13.35" customHeight="1"/>
    <row r="1118" s="29" customFormat="1" ht="13.35" customHeight="1"/>
    <row r="1119" s="29" customFormat="1" ht="13.35" customHeight="1"/>
    <row r="1120" s="29" customFormat="1" ht="13.35" customHeight="1"/>
    <row r="1121" s="29" customFormat="1" ht="13.35" customHeight="1"/>
    <row r="1122" s="29" customFormat="1" ht="13.35" customHeight="1"/>
    <row r="1123" s="29" customFormat="1" ht="13.35" customHeight="1"/>
    <row r="1124" s="29" customFormat="1" ht="13.35" customHeight="1"/>
    <row r="1125" s="29" customFormat="1" ht="13.35" customHeight="1"/>
    <row r="1126" s="29" customFormat="1" ht="13.35" customHeight="1"/>
    <row r="1127" s="29" customFormat="1" ht="13.35" customHeight="1"/>
    <row r="1128" s="29" customFormat="1" ht="13.35" customHeight="1"/>
    <row r="1129" s="29" customFormat="1" ht="13.35" customHeight="1"/>
    <row r="1130" s="29" customFormat="1" ht="13.35" customHeight="1"/>
    <row r="1131" s="29" customFormat="1" ht="13.35" customHeight="1"/>
    <row r="1132" s="29" customFormat="1" ht="13.35" customHeight="1"/>
    <row r="1133" s="29" customFormat="1" ht="13.35" customHeight="1"/>
    <row r="1134" s="29" customFormat="1" ht="13.35" customHeight="1"/>
    <row r="1135" s="29" customFormat="1" ht="13.35" customHeight="1"/>
    <row r="1136" s="29" customFormat="1" ht="13.35" customHeight="1"/>
    <row r="1137" s="29" customFormat="1" ht="13.35" customHeight="1"/>
    <row r="1138" s="29" customFormat="1" ht="13.35" customHeight="1"/>
    <row r="1139" s="29" customFormat="1" ht="13.35" customHeight="1"/>
    <row r="1140" s="29" customFormat="1" ht="13.35" customHeight="1"/>
    <row r="1141" s="29" customFormat="1" ht="13.35" customHeight="1"/>
    <row r="1142" s="29" customFormat="1" ht="13.35" customHeight="1"/>
    <row r="1143" s="29" customFormat="1" ht="13.35" customHeight="1"/>
    <row r="1144" s="29" customFormat="1" ht="13.35" customHeight="1"/>
    <row r="1145" s="29" customFormat="1" ht="13.35" customHeight="1"/>
    <row r="1146" s="29" customFormat="1" ht="13.35" customHeight="1"/>
    <row r="1147" s="29" customFormat="1" ht="13.35" customHeight="1"/>
    <row r="1148" s="29" customFormat="1" ht="13.35" customHeight="1"/>
    <row r="1149" s="29" customFormat="1" ht="13.35" customHeight="1"/>
    <row r="1150" s="29" customFormat="1" ht="13.35" customHeight="1"/>
    <row r="1151" s="29" customFormat="1" ht="13.35" customHeight="1"/>
    <row r="1152" s="29" customFormat="1" ht="13.35" customHeight="1"/>
    <row r="1153" s="29" customFormat="1" ht="13.35" customHeight="1"/>
    <row r="1154" s="29" customFormat="1" ht="13.35" customHeight="1"/>
    <row r="1155" s="29" customFormat="1" ht="13.35" customHeight="1"/>
    <row r="1156" s="29" customFormat="1" ht="13.35" customHeight="1"/>
    <row r="1157" s="29" customFormat="1" ht="13.35" customHeight="1"/>
    <row r="1158" s="29" customFormat="1" ht="13.35" customHeight="1"/>
    <row r="1159" s="29" customFormat="1" ht="13.35" customHeight="1"/>
    <row r="1160" s="29" customFormat="1" ht="13.35" customHeight="1"/>
    <row r="1161" s="29" customFormat="1" ht="13.35" customHeight="1"/>
    <row r="1162" s="29" customFormat="1" ht="13.35" customHeight="1"/>
    <row r="1163" s="29" customFormat="1" ht="13.35" customHeight="1"/>
    <row r="1164" s="29" customFormat="1" ht="13.35" customHeight="1"/>
    <row r="1165" s="29" customFormat="1" ht="13.35" customHeight="1"/>
    <row r="1166" s="29" customFormat="1" ht="13.35" customHeight="1"/>
    <row r="1167" s="29" customFormat="1" ht="13.35" customHeight="1"/>
    <row r="1168" s="29" customFormat="1" ht="13.35" customHeight="1"/>
    <row r="1169" s="29" customFormat="1" ht="13.35" customHeight="1"/>
    <row r="1170" s="29" customFormat="1" ht="13.35" customHeight="1"/>
    <row r="1171" s="29" customFormat="1" ht="13.35" customHeight="1"/>
    <row r="1172" s="29" customFormat="1" ht="13.35" customHeight="1"/>
    <row r="1173" s="29" customFormat="1" ht="13.35" customHeight="1"/>
    <row r="1174" s="29" customFormat="1" ht="13.35" customHeight="1"/>
    <row r="1175" s="29" customFormat="1" ht="13.35" customHeight="1"/>
    <row r="1176" s="29" customFormat="1" ht="13.35" customHeight="1"/>
    <row r="1177" s="29" customFormat="1" ht="13.35" customHeight="1"/>
    <row r="1178" s="29" customFormat="1" ht="13.35" customHeight="1"/>
    <row r="1179" s="29" customFormat="1" ht="13.35" customHeight="1"/>
    <row r="1180" s="29" customFormat="1" ht="13.35" customHeight="1"/>
    <row r="1181" s="29" customFormat="1" ht="13.35" customHeight="1"/>
    <row r="1182" s="29" customFormat="1" ht="13.35" customHeight="1"/>
    <row r="1183" s="29" customFormat="1" ht="13.35" customHeight="1"/>
    <row r="1184" s="29" customFormat="1" ht="13.35" customHeight="1"/>
    <row r="1185" s="29" customFormat="1" ht="13.35" customHeight="1"/>
    <row r="1186" s="29" customFormat="1" ht="13.35" customHeight="1"/>
    <row r="1187" s="29" customFormat="1" ht="13.35" customHeight="1"/>
    <row r="1188" s="29" customFormat="1" ht="13.35" customHeight="1"/>
    <row r="1189" s="29" customFormat="1" ht="13.35" customHeight="1"/>
    <row r="1190" s="29" customFormat="1" ht="13.35" customHeight="1"/>
    <row r="1191" s="29" customFormat="1" ht="13.35" customHeight="1"/>
    <row r="1192" s="29" customFormat="1" ht="13.35" customHeight="1"/>
    <row r="1193" s="29" customFormat="1" ht="13.35" customHeight="1"/>
    <row r="1194" s="29" customFormat="1" ht="13.35" customHeight="1"/>
    <row r="1195" s="29" customFormat="1" ht="13.35" customHeight="1"/>
    <row r="1196" s="29" customFormat="1" ht="13.35" customHeight="1"/>
    <row r="1197" s="29" customFormat="1" ht="13.35" customHeight="1"/>
    <row r="1198" s="29" customFormat="1" ht="13.35" customHeight="1"/>
    <row r="1199" s="29" customFormat="1" ht="13.35" customHeight="1"/>
    <row r="1200" s="29" customFormat="1" ht="13.35" customHeight="1"/>
    <row r="1201" s="29" customFormat="1" ht="13.35" customHeight="1"/>
    <row r="1202" s="29" customFormat="1" ht="13.35" customHeight="1"/>
    <row r="1203" s="29" customFormat="1" ht="13.35" customHeight="1"/>
    <row r="1204" s="29" customFormat="1" ht="13.35" customHeight="1"/>
    <row r="1205" s="29" customFormat="1" ht="13.35" customHeight="1"/>
    <row r="1206" s="29" customFormat="1" ht="13.35" customHeight="1"/>
    <row r="1207" s="29" customFormat="1" ht="13.35" customHeight="1"/>
    <row r="1208" s="29" customFormat="1" ht="13.35" customHeight="1"/>
    <row r="1209" s="29" customFormat="1" ht="13.35" customHeight="1"/>
    <row r="1210" s="29" customFormat="1" ht="13.35" customHeight="1"/>
    <row r="1211" s="29" customFormat="1" ht="13.35" customHeight="1"/>
    <row r="1212" s="29" customFormat="1" ht="13.35" customHeight="1"/>
    <row r="1213" s="29" customFormat="1" ht="13.35" customHeight="1"/>
    <row r="1214" s="29" customFormat="1" ht="13.35" customHeight="1"/>
    <row r="1215" s="29" customFormat="1" ht="13.35" customHeight="1"/>
    <row r="1216" s="29" customFormat="1" ht="13.35" customHeight="1"/>
    <row r="1217" s="29" customFormat="1" ht="13.35" customHeight="1"/>
    <row r="1218" s="29" customFormat="1" ht="13.35" customHeight="1"/>
    <row r="1219" s="29" customFormat="1" ht="13.35" customHeight="1"/>
    <row r="1220" s="29" customFormat="1" ht="13.35" customHeight="1"/>
    <row r="1221" s="29" customFormat="1" ht="13.35" customHeight="1"/>
    <row r="1222" s="29" customFormat="1" ht="13.35" customHeight="1"/>
    <row r="1223" s="29" customFormat="1" ht="13.35" customHeight="1"/>
    <row r="1224" s="29" customFormat="1" ht="13.35" customHeight="1"/>
    <row r="1225" s="29" customFormat="1" ht="13.35" customHeight="1"/>
    <row r="1226" s="29" customFormat="1" ht="13.35" customHeight="1"/>
    <row r="1227" s="29" customFormat="1" ht="13.35" customHeight="1"/>
    <row r="1228" s="29" customFormat="1" ht="13.35" customHeight="1"/>
    <row r="1229" s="29" customFormat="1" ht="13.35" customHeight="1"/>
    <row r="1230" s="29" customFormat="1" ht="13.35" customHeight="1"/>
    <row r="1231" s="29" customFormat="1" ht="13.35" customHeight="1"/>
    <row r="1232" s="29" customFormat="1" ht="13.35" customHeight="1"/>
    <row r="1233" s="29" customFormat="1" ht="13.35" customHeight="1"/>
    <row r="1234" s="29" customFormat="1" ht="13.35" customHeight="1"/>
    <row r="1235" s="29" customFormat="1" ht="13.35" customHeight="1"/>
    <row r="1236" s="29" customFormat="1" ht="13.35" customHeight="1"/>
    <row r="1237" s="29" customFormat="1" ht="13.35" customHeight="1"/>
    <row r="1238" s="29" customFormat="1" ht="13.35" customHeight="1"/>
    <row r="1239" s="29" customFormat="1" ht="13.35" customHeight="1"/>
    <row r="1240" s="29" customFormat="1" ht="13.35" customHeight="1"/>
    <row r="1241" s="29" customFormat="1" ht="13.35" customHeight="1"/>
    <row r="1242" s="29" customFormat="1" ht="13.35" customHeight="1"/>
    <row r="1243" s="29" customFormat="1" ht="13.35" customHeight="1"/>
    <row r="1244" s="29" customFormat="1" ht="13.35" customHeight="1"/>
    <row r="1245" s="29" customFormat="1" ht="13.35" customHeight="1"/>
    <row r="1246" s="29" customFormat="1" ht="13.35" customHeight="1"/>
    <row r="1247" s="29" customFormat="1" ht="13.35" customHeight="1"/>
    <row r="1248" s="29" customFormat="1" ht="13.35" customHeight="1"/>
    <row r="1249" s="29" customFormat="1" ht="13.35" customHeight="1"/>
    <row r="1250" s="29" customFormat="1" ht="13.35" customHeight="1"/>
    <row r="1251" s="29" customFormat="1" ht="13.35" customHeight="1"/>
    <row r="1252" s="29" customFormat="1" ht="13.35" customHeight="1"/>
    <row r="1253" s="29" customFormat="1" ht="13.35" customHeight="1"/>
    <row r="1254" s="29" customFormat="1" ht="13.35" customHeight="1"/>
    <row r="1255" s="29" customFormat="1" ht="13.35" customHeight="1"/>
    <row r="1256" s="29" customFormat="1" ht="13.35" customHeight="1"/>
    <row r="1257" s="29" customFormat="1" ht="13.35" customHeight="1"/>
    <row r="1258" s="29" customFormat="1" ht="13.35" customHeight="1"/>
    <row r="1259" s="29" customFormat="1" ht="13.35" customHeight="1"/>
    <row r="1260" s="29" customFormat="1" ht="13.35" customHeight="1"/>
    <row r="1261" s="29" customFormat="1" ht="13.35" customHeight="1"/>
    <row r="1262" s="29" customFormat="1" ht="13.35" customHeight="1"/>
    <row r="1263" s="29" customFormat="1" ht="13.35" customHeight="1"/>
    <row r="1264" s="29" customFormat="1" ht="13.35" customHeight="1"/>
    <row r="1265" s="29" customFormat="1" ht="13.35" customHeight="1"/>
    <row r="1266" s="29" customFormat="1" ht="13.35" customHeight="1"/>
    <row r="1267" s="29" customFormat="1" ht="13.35" customHeight="1"/>
    <row r="1268" s="29" customFormat="1" ht="13.35" customHeight="1"/>
    <row r="1269" s="29" customFormat="1" ht="13.35" customHeight="1"/>
    <row r="1270" s="29" customFormat="1" ht="13.35" customHeight="1"/>
    <row r="1271" s="29" customFormat="1" ht="13.35" customHeight="1"/>
    <row r="1272" s="29" customFormat="1" ht="13.35" customHeight="1"/>
    <row r="1273" s="29" customFormat="1" ht="13.35" customHeight="1"/>
    <row r="1274" s="29" customFormat="1" ht="13.35" customHeight="1"/>
    <row r="1275" s="29" customFormat="1" ht="13.35" customHeight="1"/>
    <row r="1276" s="29" customFormat="1" ht="13.35" customHeight="1"/>
    <row r="1277" s="29" customFormat="1" ht="13.35" customHeight="1"/>
    <row r="1278" s="29" customFormat="1" ht="13.35" customHeight="1"/>
    <row r="1279" s="29" customFormat="1" ht="13.35" customHeight="1"/>
    <row r="1280" s="29" customFormat="1" ht="13.35" customHeight="1"/>
    <row r="1281" s="29" customFormat="1" ht="13.35" customHeight="1"/>
    <row r="1282" s="29" customFormat="1" ht="13.35" customHeight="1"/>
    <row r="1283" s="29" customFormat="1" ht="13.35" customHeight="1"/>
    <row r="1284" s="29" customFormat="1" ht="13.35" customHeight="1"/>
    <row r="1285" s="29" customFormat="1" ht="13.35" customHeight="1"/>
    <row r="1286" s="29" customFormat="1" ht="13.35" customHeight="1"/>
    <row r="1287" s="29" customFormat="1" ht="13.35" customHeight="1"/>
    <row r="1288" s="29" customFormat="1" ht="13.35" customHeight="1"/>
    <row r="1289" s="29" customFormat="1" ht="13.35" customHeight="1"/>
    <row r="1290" s="29" customFormat="1" ht="13.35" customHeight="1"/>
    <row r="1291" s="29" customFormat="1" ht="13.35" customHeight="1"/>
    <row r="1292" s="29" customFormat="1" ht="13.35" customHeight="1"/>
    <row r="1293" s="29" customFormat="1" ht="13.35" customHeight="1"/>
    <row r="1294" s="29" customFormat="1" ht="13.35" customHeight="1"/>
    <row r="1295" s="29" customFormat="1" ht="13.35" customHeight="1"/>
    <row r="1296" s="29" customFormat="1" ht="13.35" customHeight="1"/>
    <row r="1297" s="29" customFormat="1" ht="13.35" customHeight="1"/>
    <row r="1298" s="29" customFormat="1" ht="13.35" customHeight="1"/>
    <row r="1299" s="29" customFormat="1" ht="13.35" customHeight="1"/>
    <row r="1300" s="29" customFormat="1" ht="13.35" customHeight="1"/>
    <row r="1301" s="29" customFormat="1" ht="13.35" customHeight="1"/>
    <row r="1302" s="29" customFormat="1" ht="13.35" customHeight="1"/>
    <row r="1303" s="29" customFormat="1" ht="13.35" customHeight="1"/>
    <row r="1304" s="29" customFormat="1" ht="13.35" customHeight="1"/>
    <row r="1305" s="29" customFormat="1" ht="13.35" customHeight="1"/>
    <row r="1306" s="29" customFormat="1" ht="13.35" customHeight="1"/>
    <row r="1307" s="29" customFormat="1" ht="13.35" customHeight="1"/>
    <row r="1308" s="29" customFormat="1" ht="13.35" customHeight="1"/>
    <row r="1309" s="29" customFormat="1" ht="13.35" customHeight="1"/>
    <row r="1310" s="29" customFormat="1" ht="13.35" customHeight="1"/>
    <row r="1311" s="29" customFormat="1" ht="13.35" customHeight="1"/>
    <row r="1312" s="29" customFormat="1" ht="13.35" customHeight="1"/>
    <row r="1313" s="29" customFormat="1" ht="13.35" customHeight="1"/>
    <row r="1314" s="29" customFormat="1" ht="13.35" customHeight="1"/>
    <row r="1315" s="29" customFormat="1" ht="13.35" customHeight="1"/>
    <row r="1316" s="29" customFormat="1" ht="13.35" customHeight="1"/>
    <row r="1317" s="29" customFormat="1" ht="13.35" customHeight="1"/>
    <row r="1318" s="29" customFormat="1" ht="13.35" customHeight="1"/>
    <row r="1319" s="29" customFormat="1" ht="13.35" customHeight="1"/>
    <row r="1320" s="29" customFormat="1" ht="13.35" customHeight="1"/>
    <row r="1321" s="29" customFormat="1" ht="13.35" customHeight="1"/>
    <row r="1322" s="29" customFormat="1" ht="13.35" customHeight="1"/>
    <row r="1323" s="29" customFormat="1" ht="13.35" customHeight="1"/>
    <row r="1324" s="29" customFormat="1" ht="13.35" customHeight="1"/>
    <row r="1325" s="29" customFormat="1" ht="13.35" customHeight="1"/>
    <row r="1326" s="29" customFormat="1" ht="13.35" customHeight="1"/>
    <row r="1327" s="29" customFormat="1" ht="13.35" customHeight="1"/>
    <row r="1328" s="29" customFormat="1" ht="13.35" customHeight="1"/>
    <row r="1329" s="29" customFormat="1" ht="13.35" customHeight="1"/>
    <row r="1330" s="29" customFormat="1" ht="13.35" customHeight="1"/>
    <row r="1331" s="29" customFormat="1" ht="13.35" customHeight="1"/>
    <row r="1332" s="29" customFormat="1" ht="13.35" customHeight="1"/>
    <row r="1333" s="29" customFormat="1" ht="13.35" customHeight="1"/>
    <row r="1334" s="29" customFormat="1" ht="13.35" customHeight="1"/>
    <row r="1335" s="29" customFormat="1" ht="13.35" customHeight="1"/>
    <row r="1336" s="29" customFormat="1" ht="13.35" customHeight="1"/>
    <row r="1337" s="29" customFormat="1" ht="13.35" customHeight="1"/>
    <row r="1338" s="29" customFormat="1" ht="13.35" customHeight="1"/>
    <row r="1339" s="29" customFormat="1" ht="13.35" customHeight="1"/>
    <row r="1340" s="29" customFormat="1" ht="13.35" customHeight="1"/>
    <row r="1341" s="29" customFormat="1" ht="13.35" customHeight="1"/>
    <row r="1342" s="29" customFormat="1" ht="13.35" customHeight="1"/>
    <row r="1343" s="29" customFormat="1" ht="13.35" customHeight="1"/>
    <row r="1344" s="29" customFormat="1" ht="13.35" customHeight="1"/>
    <row r="1345" s="29" customFormat="1" ht="13.35" customHeight="1"/>
    <row r="1346" s="29" customFormat="1" ht="13.35" customHeight="1"/>
    <row r="1347" s="29" customFormat="1" ht="13.35" customHeight="1"/>
    <row r="1348" s="29" customFormat="1" ht="13.35" customHeight="1"/>
    <row r="1349" s="29" customFormat="1" ht="13.35" customHeight="1"/>
    <row r="1350" s="29" customFormat="1" ht="13.35" customHeight="1"/>
    <row r="1351" s="29" customFormat="1" ht="13.35" customHeight="1"/>
    <row r="1352" s="29" customFormat="1" ht="13.35" customHeight="1"/>
    <row r="1353" s="29" customFormat="1" ht="13.35" customHeight="1"/>
    <row r="1354" s="29" customFormat="1" ht="13.35" customHeight="1"/>
    <row r="1355" s="29" customFormat="1" ht="13.35" customHeight="1"/>
    <row r="1356" s="29" customFormat="1" ht="13.35" customHeight="1"/>
    <row r="1357" s="29" customFormat="1" ht="13.35" customHeight="1"/>
    <row r="1358" s="29" customFormat="1" ht="13.35" customHeight="1"/>
    <row r="1359" s="29" customFormat="1" ht="13.35" customHeight="1"/>
    <row r="1360" s="29" customFormat="1" ht="13.35" customHeight="1"/>
    <row r="1361" s="29" customFormat="1" ht="13.35" customHeight="1"/>
    <row r="1362" s="29" customFormat="1" ht="13.35" customHeight="1"/>
    <row r="1363" s="29" customFormat="1" ht="13.35" customHeight="1"/>
    <row r="1364" s="29" customFormat="1" ht="13.35" customHeight="1"/>
    <row r="1365" s="29" customFormat="1" ht="13.35" customHeight="1"/>
    <row r="1366" s="29" customFormat="1" ht="13.35" customHeight="1"/>
    <row r="1367" s="29" customFormat="1" ht="13.35" customHeight="1"/>
    <row r="1368" s="29" customFormat="1" ht="13.35" customHeight="1"/>
    <row r="1369" s="29" customFormat="1" ht="13.35" customHeight="1"/>
    <row r="1370" s="29" customFormat="1" ht="13.35" customHeight="1"/>
    <row r="1371" s="29" customFormat="1" ht="13.35" customHeight="1"/>
    <row r="1372" s="29" customFormat="1" ht="13.35" customHeight="1"/>
    <row r="1373" s="29" customFormat="1" ht="13.35" customHeight="1"/>
    <row r="1374" s="29" customFormat="1" ht="13.35" customHeight="1"/>
    <row r="1375" s="29" customFormat="1" ht="13.35" customHeight="1"/>
    <row r="1376" s="29" customFormat="1" ht="13.35" customHeight="1"/>
    <row r="1377" s="29" customFormat="1" ht="13.35" customHeight="1"/>
    <row r="1378" s="29" customFormat="1" ht="13.35" customHeight="1"/>
    <row r="1379" s="29" customFormat="1" ht="13.35" customHeight="1"/>
    <row r="1380" s="29" customFormat="1" ht="13.35" customHeight="1"/>
    <row r="1381" s="29" customFormat="1" ht="13.35" customHeight="1"/>
    <row r="1382" s="29" customFormat="1" ht="13.35" customHeight="1"/>
    <row r="1383" s="29" customFormat="1" ht="13.35" customHeight="1"/>
    <row r="1384" s="29" customFormat="1" ht="13.35" customHeight="1"/>
    <row r="1385" s="29" customFormat="1" ht="13.35" customHeight="1"/>
    <row r="1386" s="29" customFormat="1" ht="13.35" customHeight="1"/>
    <row r="1387" s="29" customFormat="1" ht="13.35" customHeight="1"/>
    <row r="1388" s="29" customFormat="1" ht="13.35" customHeight="1"/>
    <row r="1389" s="29" customFormat="1" ht="13.35" customHeight="1"/>
    <row r="1390" s="29" customFormat="1" ht="13.35" customHeight="1"/>
    <row r="1391" s="29" customFormat="1" ht="13.35" customHeight="1"/>
    <row r="1392" s="29" customFormat="1" ht="13.35" customHeight="1"/>
    <row r="1393" s="29" customFormat="1" ht="13.35" customHeight="1"/>
    <row r="1394" s="29" customFormat="1" ht="13.35" customHeight="1"/>
    <row r="1395" s="29" customFormat="1" ht="13.35" customHeight="1"/>
    <row r="1396" s="29" customFormat="1" ht="13.35" customHeight="1"/>
    <row r="1397" s="29" customFormat="1" ht="13.35" customHeight="1"/>
    <row r="1398" s="29" customFormat="1" ht="13.35" customHeight="1"/>
    <row r="1399" s="29" customFormat="1" ht="13.35" customHeight="1"/>
    <row r="1400" s="29" customFormat="1" ht="13.35" customHeight="1"/>
    <row r="1401" s="29" customFormat="1" ht="13.35" customHeight="1"/>
    <row r="1402" s="29" customFormat="1" ht="13.35" customHeight="1"/>
    <row r="1403" s="29" customFormat="1" ht="13.35" customHeight="1"/>
    <row r="1404" s="29" customFormat="1" ht="13.35" customHeight="1"/>
    <row r="1405" s="29" customFormat="1" ht="13.35" customHeight="1"/>
    <row r="1406" s="29" customFormat="1" ht="13.35" customHeight="1"/>
    <row r="1407" s="29" customFormat="1" ht="13.35" customHeight="1"/>
    <row r="1408" s="29" customFormat="1" ht="13.35" customHeight="1"/>
    <row r="1409" s="29" customFormat="1" ht="13.35" customHeight="1"/>
    <row r="1410" s="29" customFormat="1" ht="13.35" customHeight="1"/>
    <row r="1411" s="29" customFormat="1" ht="13.35" customHeight="1"/>
    <row r="1412" s="29" customFormat="1" ht="13.35" customHeight="1"/>
    <row r="1413" s="29" customFormat="1" ht="13.35" customHeight="1"/>
    <row r="1414" s="29" customFormat="1" ht="13.35" customHeight="1"/>
    <row r="1415" s="29" customFormat="1" ht="13.35" customHeight="1"/>
    <row r="1416" s="29" customFormat="1" ht="13.35" customHeight="1"/>
    <row r="1417" s="29" customFormat="1" ht="13.35" customHeight="1"/>
    <row r="1418" s="29" customFormat="1" ht="13.35" customHeight="1"/>
    <row r="1419" s="29" customFormat="1" ht="13.35" customHeight="1"/>
    <row r="1420" s="29" customFormat="1" ht="13.35" customHeight="1"/>
    <row r="1421" s="29" customFormat="1" ht="13.35" customHeight="1"/>
    <row r="1422" s="29" customFormat="1" ht="13.35" customHeight="1"/>
    <row r="1423" s="29" customFormat="1" ht="13.35" customHeight="1"/>
    <row r="1424" s="29" customFormat="1" ht="13.35" customHeight="1"/>
    <row r="1425" s="29" customFormat="1" ht="13.35" customHeight="1"/>
    <row r="1426" s="29" customFormat="1" ht="13.35" customHeight="1"/>
    <row r="1427" s="29" customFormat="1" ht="13.35" customHeight="1"/>
    <row r="1428" s="29" customFormat="1" ht="13.35" customHeight="1"/>
    <row r="1429" s="29" customFormat="1" ht="13.35" customHeight="1"/>
    <row r="1430" s="29" customFormat="1" ht="13.35" customHeight="1"/>
    <row r="1431" s="29" customFormat="1" ht="13.35" customHeight="1"/>
    <row r="1432" s="29" customFormat="1" ht="13.35" customHeight="1"/>
    <row r="1433" s="29" customFormat="1" ht="13.35" customHeight="1"/>
    <row r="1434" s="29" customFormat="1" ht="13.35" customHeight="1"/>
    <row r="1435" s="29" customFormat="1" ht="13.35" customHeight="1"/>
    <row r="1436" s="29" customFormat="1" ht="13.35" customHeight="1"/>
    <row r="1437" s="29" customFormat="1" ht="13.35" customHeight="1"/>
    <row r="1438" s="29" customFormat="1" ht="13.35" customHeight="1"/>
    <row r="1439" s="29" customFormat="1" ht="13.35" customHeight="1"/>
    <row r="1440" s="29" customFormat="1" ht="13.35" customHeight="1"/>
    <row r="1441" s="29" customFormat="1" ht="13.35" customHeight="1"/>
    <row r="1442" s="29" customFormat="1" ht="13.35" customHeight="1"/>
    <row r="1443" s="29" customFormat="1" ht="13.35" customHeight="1"/>
    <row r="1444" s="29" customFormat="1" ht="13.35" customHeight="1"/>
    <row r="1445" s="29" customFormat="1" ht="13.35" customHeight="1"/>
    <row r="1446" s="29" customFormat="1" ht="13.35" customHeight="1"/>
    <row r="1447" s="29" customFormat="1" ht="13.35" customHeight="1"/>
    <row r="1448" s="29" customFormat="1" ht="13.35" customHeight="1"/>
    <row r="1449" s="29" customFormat="1" ht="13.35" customHeight="1"/>
    <row r="1450" s="29" customFormat="1" ht="13.35" customHeight="1"/>
    <row r="1451" s="29" customFormat="1" ht="13.35" customHeight="1"/>
    <row r="1452" s="29" customFormat="1" ht="13.35" customHeight="1"/>
    <row r="1453" s="29" customFormat="1" ht="13.35" customHeight="1"/>
    <row r="1454" s="29" customFormat="1" ht="13.35" customHeight="1"/>
    <row r="1455" s="29" customFormat="1" ht="13.35" customHeight="1"/>
    <row r="1456" s="29" customFormat="1" ht="13.35" customHeight="1"/>
    <row r="1457" s="29" customFormat="1" ht="13.35" customHeight="1"/>
    <row r="1458" s="29" customFormat="1" ht="13.35" customHeight="1"/>
    <row r="1459" s="29" customFormat="1" ht="13.35" customHeight="1"/>
    <row r="1460" s="29" customFormat="1" ht="13.35" customHeight="1"/>
    <row r="1461" s="29" customFormat="1" ht="13.35" customHeight="1"/>
    <row r="1462" s="29" customFormat="1" ht="13.35" customHeight="1"/>
    <row r="1463" s="29" customFormat="1" ht="13.35" customHeight="1"/>
    <row r="1464" s="29" customFormat="1" ht="13.35" customHeight="1"/>
    <row r="1465" s="29" customFormat="1" ht="13.35" customHeight="1"/>
    <row r="1466" s="29" customFormat="1" ht="13.35" customHeight="1"/>
    <row r="1467" s="29" customFormat="1" ht="13.35" customHeight="1"/>
    <row r="1468" s="29" customFormat="1" ht="13.35" customHeight="1"/>
    <row r="1469" s="29" customFormat="1" ht="13.35" customHeight="1"/>
    <row r="1470" s="29" customFormat="1" ht="13.35" customHeight="1"/>
    <row r="1471" s="29" customFormat="1" ht="13.35" customHeight="1"/>
    <row r="1472" s="29" customFormat="1" ht="13.35" customHeight="1"/>
    <row r="1473" s="29" customFormat="1" ht="13.35" customHeight="1"/>
    <row r="1474" s="29" customFormat="1" ht="13.35" customHeight="1"/>
    <row r="1475" s="29" customFormat="1" ht="13.35" customHeight="1"/>
    <row r="1476" s="29" customFormat="1" ht="13.35" customHeight="1"/>
    <row r="1477" s="29" customFormat="1" ht="13.35" customHeight="1"/>
    <row r="1478" s="29" customFormat="1" ht="13.35" customHeight="1"/>
    <row r="1479" s="29" customFormat="1" ht="13.35" customHeight="1"/>
    <row r="1480" s="29" customFormat="1" ht="13.35" customHeight="1"/>
    <row r="1481" s="29" customFormat="1" ht="13.35" customHeight="1"/>
    <row r="1482" s="29" customFormat="1" ht="13.35" customHeight="1"/>
    <row r="1483" s="29" customFormat="1" ht="13.35" customHeight="1"/>
    <row r="1484" s="29" customFormat="1" ht="13.35" customHeight="1"/>
    <row r="1485" s="29" customFormat="1" ht="13.35" customHeight="1"/>
    <row r="1486" s="29" customFormat="1" ht="13.35" customHeight="1"/>
    <row r="1487" s="29" customFormat="1" ht="13.35" customHeight="1"/>
    <row r="1488" s="29" customFormat="1" ht="13.35" customHeight="1"/>
    <row r="1489" s="29" customFormat="1" ht="13.35" customHeight="1"/>
    <row r="1490" s="29" customFormat="1" ht="13.35" customHeight="1"/>
    <row r="1491" s="29" customFormat="1" ht="13.35" customHeight="1"/>
    <row r="1492" s="29" customFormat="1" ht="13.35" customHeight="1"/>
    <row r="1493" s="29" customFormat="1" ht="13.35" customHeight="1"/>
    <row r="1494" s="29" customFormat="1" ht="13.35" customHeight="1"/>
    <row r="1495" s="29" customFormat="1" ht="13.35" customHeight="1"/>
    <row r="1496" s="29" customFormat="1" ht="13.35" customHeight="1"/>
    <row r="1497" s="29" customFormat="1" ht="13.35" customHeight="1"/>
    <row r="1498" s="29" customFormat="1" ht="13.35" customHeight="1"/>
    <row r="1499" s="29" customFormat="1" ht="13.35" customHeight="1"/>
    <row r="1500" s="29" customFormat="1" ht="13.35" customHeight="1"/>
    <row r="1501" s="29" customFormat="1" ht="13.35" customHeight="1"/>
    <row r="1502" s="29" customFormat="1" ht="13.35" customHeight="1"/>
    <row r="1503" s="29" customFormat="1" ht="13.35" customHeight="1"/>
    <row r="1504" s="29" customFormat="1" ht="13.35" customHeight="1"/>
    <row r="1505" s="29" customFormat="1" ht="13.35" customHeight="1"/>
    <row r="1506" s="29" customFormat="1" ht="13.35" customHeight="1"/>
    <row r="1507" s="29" customFormat="1" ht="13.35" customHeight="1"/>
    <row r="1508" s="29" customFormat="1" ht="13.35" customHeight="1"/>
    <row r="1509" s="29" customFormat="1" ht="13.35" customHeight="1"/>
    <row r="1510" s="29" customFormat="1" ht="13.35" customHeight="1"/>
    <row r="1511" s="29" customFormat="1" ht="13.35" customHeight="1"/>
    <row r="1512" s="29" customFormat="1" ht="13.35" customHeight="1"/>
    <row r="1513" s="29" customFormat="1" ht="13.35" customHeight="1"/>
    <row r="1514" s="29" customFormat="1" ht="13.35" customHeight="1"/>
    <row r="1515" s="29" customFormat="1" ht="13.35" customHeight="1"/>
    <row r="1516" s="29" customFormat="1" ht="13.35" customHeight="1"/>
    <row r="1517" s="29" customFormat="1" ht="13.35" customHeight="1"/>
    <row r="1518" s="29" customFormat="1" ht="13.35" customHeight="1"/>
    <row r="1519" s="29" customFormat="1" ht="13.35" customHeight="1"/>
    <row r="1520" s="29" customFormat="1" ht="13.35" customHeight="1"/>
    <row r="1521" s="29" customFormat="1" ht="13.35" customHeight="1"/>
    <row r="1522" s="29" customFormat="1" ht="13.35" customHeight="1"/>
    <row r="1523" s="29" customFormat="1" ht="13.35" customHeight="1"/>
    <row r="1524" s="29" customFormat="1" ht="13.35" customHeight="1"/>
    <row r="1525" s="29" customFormat="1" ht="13.35" customHeight="1"/>
    <row r="1526" s="29" customFormat="1" ht="13.35" customHeight="1"/>
    <row r="1527" s="29" customFormat="1" ht="13.35" customHeight="1"/>
    <row r="1528" s="29" customFormat="1" ht="13.35" customHeight="1"/>
    <row r="1529" s="29" customFormat="1" ht="13.35" customHeight="1"/>
    <row r="1530" s="29" customFormat="1" ht="13.35" customHeight="1"/>
    <row r="1531" s="29" customFormat="1" ht="13.35" customHeight="1"/>
    <row r="1532" s="29" customFormat="1" ht="13.35" customHeight="1"/>
    <row r="1533" s="29" customFormat="1" ht="13.35" customHeight="1"/>
    <row r="1534" s="29" customFormat="1" ht="13.35" customHeight="1"/>
    <row r="1535" s="29" customFormat="1" ht="13.35" customHeight="1"/>
    <row r="1536" s="29" customFormat="1" ht="13.35" customHeight="1"/>
    <row r="1537" s="29" customFormat="1" ht="13.35" customHeight="1"/>
    <row r="1538" s="29" customFormat="1" ht="13.35" customHeight="1"/>
    <row r="1539" s="29" customFormat="1" ht="13.35" customHeight="1"/>
    <row r="1540" s="29" customFormat="1" ht="13.35" customHeight="1"/>
    <row r="1541" s="29" customFormat="1" ht="13.35" customHeight="1"/>
    <row r="1542" s="29" customFormat="1" ht="13.35" customHeight="1"/>
    <row r="1543" s="29" customFormat="1" ht="13.35" customHeight="1"/>
    <row r="1544" s="29" customFormat="1" ht="13.35" customHeight="1"/>
    <row r="1545" s="29" customFormat="1" ht="13.35" customHeight="1"/>
    <row r="1546" s="29" customFormat="1" ht="13.35" customHeight="1"/>
    <row r="1547" s="29" customFormat="1" ht="13.35" customHeight="1"/>
    <row r="1548" s="29" customFormat="1" ht="13.35" customHeight="1"/>
    <row r="1549" s="29" customFormat="1" ht="13.35" customHeight="1"/>
    <row r="1550" s="29" customFormat="1" ht="13.35" customHeight="1"/>
    <row r="1551" s="29" customFormat="1" ht="13.35" customHeight="1"/>
    <row r="1552" s="29" customFormat="1" ht="13.35" customHeight="1"/>
    <row r="1553" s="29" customFormat="1" ht="13.35" customHeight="1"/>
    <row r="1554" s="29" customFormat="1" ht="13.35" customHeight="1"/>
    <row r="1555" s="29" customFormat="1" ht="13.35" customHeight="1"/>
    <row r="1556" s="29" customFormat="1" ht="13.35" customHeight="1"/>
    <row r="1557" s="29" customFormat="1" ht="13.35" customHeight="1"/>
    <row r="1558" s="29" customFormat="1" ht="13.35" customHeight="1"/>
    <row r="1559" s="29" customFormat="1" ht="13.35" customHeight="1"/>
    <row r="1560" s="29" customFormat="1" ht="13.35" customHeight="1"/>
    <row r="1561" s="29" customFormat="1" ht="13.35" customHeight="1"/>
    <row r="1562" s="29" customFormat="1" ht="13.35" customHeight="1"/>
    <row r="1563" s="29" customFormat="1" ht="13.35" customHeight="1"/>
    <row r="1564" s="29" customFormat="1" ht="13.35" customHeight="1"/>
    <row r="1565" s="29" customFormat="1" ht="13.35" customHeight="1"/>
    <row r="1566" s="29" customFormat="1" ht="13.35" customHeight="1"/>
    <row r="1567" s="29" customFormat="1" ht="13.35" customHeight="1"/>
    <row r="1568" s="29" customFormat="1" ht="13.35" customHeight="1"/>
    <row r="1569" s="29" customFormat="1" ht="13.35" customHeight="1"/>
    <row r="1570" s="29" customFormat="1" ht="13.35" customHeight="1"/>
    <row r="1571" s="29" customFormat="1" ht="13.35" customHeight="1"/>
    <row r="1572" s="29" customFormat="1" ht="13.35" customHeight="1"/>
    <row r="1573" s="29" customFormat="1" ht="13.35" customHeight="1"/>
    <row r="1574" s="29" customFormat="1" ht="13.35" customHeight="1"/>
    <row r="1575" s="29" customFormat="1" ht="13.35" customHeight="1"/>
    <row r="1576" s="29" customFormat="1" ht="13.35" customHeight="1"/>
    <row r="1577" s="29" customFormat="1" ht="13.35" customHeight="1"/>
    <row r="1578" s="29" customFormat="1" ht="13.35" customHeight="1"/>
    <row r="1579" s="29" customFormat="1" ht="13.35" customHeight="1"/>
    <row r="1580" s="29" customFormat="1" ht="13.35" customHeight="1"/>
    <row r="1581" s="29" customFormat="1" ht="13.35" customHeight="1"/>
    <row r="1582" s="29" customFormat="1" ht="13.35" customHeight="1"/>
    <row r="1583" s="29" customFormat="1" ht="13.35" customHeight="1"/>
    <row r="1584" s="29" customFormat="1" ht="13.35" customHeight="1"/>
    <row r="1585" s="29" customFormat="1" ht="13.35" customHeight="1"/>
    <row r="1586" s="29" customFormat="1" ht="13.35" customHeight="1"/>
    <row r="1587" s="29" customFormat="1" ht="13.35" customHeight="1"/>
    <row r="1588" s="29" customFormat="1" ht="13.35" customHeight="1"/>
    <row r="1589" s="29" customFormat="1" ht="13.35" customHeight="1"/>
    <row r="1590" s="29" customFormat="1" ht="13.35" customHeight="1"/>
    <row r="1591" s="29" customFormat="1" ht="13.35" customHeight="1"/>
    <row r="1592" s="29" customFormat="1" ht="13.35" customHeight="1"/>
    <row r="1593" s="29" customFormat="1" ht="13.35" customHeight="1"/>
    <row r="1594" s="29" customFormat="1" ht="13.35" customHeight="1"/>
    <row r="1595" s="29" customFormat="1" ht="13.35" customHeight="1"/>
    <row r="1596" s="29" customFormat="1" ht="13.35" customHeight="1"/>
    <row r="1597" s="29" customFormat="1" ht="13.35" customHeight="1"/>
    <row r="1598" s="29" customFormat="1" ht="13.35" customHeight="1"/>
    <row r="1599" s="29" customFormat="1" ht="13.35" customHeight="1"/>
    <row r="1600" s="29" customFormat="1" ht="13.35" customHeight="1"/>
    <row r="1601" s="29" customFormat="1" ht="13.35" customHeight="1"/>
    <row r="1602" s="29" customFormat="1" ht="13.35" customHeight="1"/>
    <row r="1603" s="29" customFormat="1" ht="13.35" customHeight="1"/>
    <row r="1604" s="29" customFormat="1" ht="13.35" customHeight="1"/>
    <row r="1605" s="29" customFormat="1" ht="13.35" customHeight="1"/>
    <row r="1606" s="29" customFormat="1" ht="13.35" customHeight="1"/>
    <row r="1607" s="29" customFormat="1" ht="13.35" customHeight="1"/>
    <row r="1608" s="29" customFormat="1" ht="13.35" customHeight="1"/>
    <row r="1609" s="29" customFormat="1" ht="13.35" customHeight="1"/>
    <row r="1610" s="29" customFormat="1" ht="13.35" customHeight="1"/>
    <row r="1611" s="29" customFormat="1" ht="13.35" customHeight="1"/>
    <row r="1612" s="29" customFormat="1" ht="13.35" customHeight="1"/>
    <row r="1613" s="29" customFormat="1" ht="13.35" customHeight="1"/>
    <row r="1614" s="29" customFormat="1" ht="13.35" customHeight="1"/>
    <row r="1615" s="29" customFormat="1" ht="13.35" customHeight="1"/>
    <row r="1616" s="29" customFormat="1" ht="13.35" customHeight="1"/>
    <row r="1617" s="29" customFormat="1" ht="13.35" customHeight="1"/>
    <row r="1618" s="29" customFormat="1" ht="13.35" customHeight="1"/>
    <row r="1619" s="29" customFormat="1" ht="13.35" customHeight="1"/>
    <row r="1620" s="29" customFormat="1" ht="13.35" customHeight="1"/>
    <row r="1621" s="29" customFormat="1" ht="13.35" customHeight="1"/>
    <row r="1622" s="29" customFormat="1" ht="13.35" customHeight="1"/>
    <row r="1623" s="29" customFormat="1" ht="13.35" customHeight="1"/>
    <row r="1624" s="29" customFormat="1" ht="13.35" customHeight="1"/>
    <row r="1625" s="29" customFormat="1" ht="13.35" customHeight="1"/>
    <row r="1626" s="29" customFormat="1" ht="13.35" customHeight="1"/>
    <row r="1627" s="29" customFormat="1" ht="13.35" customHeight="1"/>
    <row r="1628" s="29" customFormat="1" ht="13.35" customHeight="1"/>
    <row r="1629" s="29" customFormat="1" ht="13.35" customHeight="1"/>
    <row r="1630" s="29" customFormat="1" ht="13.35" customHeight="1"/>
    <row r="1631" s="29" customFormat="1" ht="13.35" customHeight="1"/>
    <row r="1632" s="29" customFormat="1" ht="13.35" customHeight="1"/>
    <row r="1633" s="29" customFormat="1" ht="13.35" customHeight="1"/>
    <row r="1634" s="29" customFormat="1" ht="13.35" customHeight="1"/>
    <row r="1635" s="29" customFormat="1" ht="13.35" customHeight="1"/>
    <row r="1636" s="29" customFormat="1" ht="13.35" customHeight="1"/>
    <row r="1637" s="29" customFormat="1" ht="13.35" customHeight="1"/>
    <row r="1638" s="29" customFormat="1" ht="13.35" customHeight="1"/>
    <row r="1639" s="29" customFormat="1" ht="13.35" customHeight="1"/>
    <row r="1640" s="29" customFormat="1" ht="13.35" customHeight="1"/>
    <row r="1641" s="29" customFormat="1" ht="13.35" customHeight="1"/>
    <row r="1642" s="29" customFormat="1" ht="13.35" customHeight="1"/>
    <row r="1643" s="29" customFormat="1" ht="13.35" customHeight="1"/>
    <row r="1644" s="29" customFormat="1" ht="13.35" customHeight="1"/>
    <row r="1645" s="29" customFormat="1" ht="13.35" customHeight="1"/>
    <row r="1646" s="29" customFormat="1" ht="13.35" customHeight="1"/>
    <row r="1647" s="29" customFormat="1" ht="13.35" customHeight="1"/>
    <row r="1648" s="29" customFormat="1" ht="13.35" customHeight="1"/>
    <row r="1649" s="29" customFormat="1" ht="13.35" customHeight="1"/>
    <row r="1650" s="29" customFormat="1" ht="13.35" customHeight="1"/>
    <row r="1651" s="29" customFormat="1" ht="13.35" customHeight="1"/>
    <row r="1652" s="29" customFormat="1" ht="13.35" customHeight="1"/>
    <row r="1653" s="29" customFormat="1" ht="13.35" customHeight="1"/>
    <row r="1654" s="29" customFormat="1" ht="13.35" customHeight="1"/>
    <row r="1655" s="29" customFormat="1" ht="13.35" customHeight="1"/>
    <row r="1656" s="29" customFormat="1" ht="13.35" customHeight="1"/>
    <row r="1657" s="29" customFormat="1" ht="13.35" customHeight="1"/>
    <row r="1658" s="29" customFormat="1" ht="13.35" customHeight="1"/>
    <row r="1659" s="29" customFormat="1" ht="13.35" customHeight="1"/>
    <row r="1660" s="29" customFormat="1" ht="13.35" customHeight="1"/>
    <row r="1661" s="29" customFormat="1" ht="13.35" customHeight="1"/>
    <row r="1662" s="29" customFormat="1" ht="13.35" customHeight="1"/>
    <row r="1663" s="29" customFormat="1" ht="13.35" customHeight="1"/>
    <row r="1664" s="29" customFormat="1" ht="13.35" customHeight="1"/>
    <row r="1665" s="29" customFormat="1" ht="13.35" customHeight="1"/>
    <row r="1666" s="29" customFormat="1" ht="13.35" customHeight="1"/>
    <row r="1667" s="29" customFormat="1" ht="13.35" customHeight="1"/>
    <row r="1668" s="29" customFormat="1" ht="13.35" customHeight="1"/>
    <row r="1669" s="29" customFormat="1" ht="13.35" customHeight="1"/>
    <row r="1670" s="29" customFormat="1" ht="13.35" customHeight="1"/>
    <row r="1671" s="29" customFormat="1" ht="13.35" customHeight="1"/>
    <row r="1672" s="29" customFormat="1" ht="13.35" customHeight="1"/>
    <row r="1673" s="29" customFormat="1" ht="13.35" customHeight="1"/>
    <row r="1674" s="29" customFormat="1" ht="13.35" customHeight="1"/>
    <row r="1675" s="29" customFormat="1" ht="13.35" customHeight="1"/>
    <row r="1676" s="29" customFormat="1" ht="13.35" customHeight="1"/>
    <row r="1677" s="29" customFormat="1" ht="13.35" customHeight="1"/>
    <row r="1678" s="29" customFormat="1" ht="13.35" customHeight="1"/>
    <row r="1679" s="29" customFormat="1" ht="13.35" customHeight="1"/>
    <row r="1680" s="29" customFormat="1" ht="13.35" customHeight="1"/>
    <row r="1681" s="29" customFormat="1" ht="13.35" customHeight="1"/>
    <row r="1682" s="29" customFormat="1" ht="13.35" customHeight="1"/>
    <row r="1683" s="29" customFormat="1" ht="13.35" customHeight="1"/>
    <row r="1684" s="29" customFormat="1" ht="13.35" customHeight="1"/>
    <row r="1685" s="29" customFormat="1" ht="13.35" customHeight="1"/>
    <row r="1686" s="29" customFormat="1" ht="13.35" customHeight="1"/>
    <row r="1687" s="29" customFormat="1" ht="13.35" customHeight="1"/>
    <row r="1688" s="29" customFormat="1" ht="13.35" customHeight="1"/>
    <row r="1689" s="29" customFormat="1" ht="13.35" customHeight="1"/>
    <row r="1690" s="29" customFormat="1" ht="13.35" customHeight="1"/>
    <row r="1691" s="29" customFormat="1" ht="13.35" customHeight="1"/>
    <row r="1692" s="29" customFormat="1" ht="13.35" customHeight="1"/>
    <row r="1693" s="29" customFormat="1" ht="13.35" customHeight="1"/>
    <row r="1694" s="29" customFormat="1" ht="13.35" customHeight="1"/>
    <row r="1695" s="29" customFormat="1" ht="13.35" customHeight="1"/>
    <row r="1696" s="29" customFormat="1" ht="13.35" customHeight="1"/>
    <row r="1697" s="29" customFormat="1" ht="13.35" customHeight="1"/>
    <row r="1698" s="29" customFormat="1" ht="13.35" customHeight="1"/>
    <row r="1699" s="29" customFormat="1" ht="13.35" customHeight="1"/>
    <row r="1700" s="29" customFormat="1" ht="13.35" customHeight="1"/>
    <row r="1701" s="29" customFormat="1" ht="13.35" customHeight="1"/>
    <row r="1702" s="29" customFormat="1" ht="13.35" customHeight="1"/>
    <row r="1703" s="29" customFormat="1" ht="13.35" customHeight="1"/>
    <row r="1704" s="29" customFormat="1" ht="13.35" customHeight="1"/>
    <row r="1705" s="29" customFormat="1" ht="13.35" customHeight="1"/>
    <row r="1706" s="29" customFormat="1" ht="13.35" customHeight="1"/>
    <row r="1707" s="29" customFormat="1" ht="13.35" customHeight="1"/>
    <row r="1708" s="29" customFormat="1" ht="13.35" customHeight="1"/>
    <row r="1709" s="29" customFormat="1" ht="13.35" customHeight="1"/>
    <row r="1710" s="29" customFormat="1" ht="13.35" customHeight="1"/>
    <row r="1711" s="29" customFormat="1" ht="13.35" customHeight="1"/>
    <row r="1712" s="29" customFormat="1" ht="13.35" customHeight="1"/>
    <row r="1713" s="29" customFormat="1" ht="13.35" customHeight="1"/>
    <row r="1714" s="29" customFormat="1" ht="13.35" customHeight="1"/>
    <row r="1715" s="29" customFormat="1" ht="13.35" customHeight="1"/>
    <row r="1716" s="29" customFormat="1" ht="13.35" customHeight="1"/>
    <row r="1717" s="29" customFormat="1" ht="13.35" customHeight="1"/>
    <row r="1718" s="29" customFormat="1" ht="13.35" customHeight="1"/>
    <row r="1719" s="29" customFormat="1" ht="13.35" customHeight="1"/>
    <row r="1720" s="29" customFormat="1" ht="13.35" customHeight="1"/>
    <row r="1721" s="29" customFormat="1" ht="13.35" customHeight="1"/>
    <row r="1722" s="29" customFormat="1" ht="13.35" customHeight="1"/>
    <row r="1723" s="29" customFormat="1" ht="13.35" customHeight="1"/>
    <row r="1724" s="29" customFormat="1" ht="13.35" customHeight="1"/>
    <row r="1725" s="29" customFormat="1" ht="13.35" customHeight="1"/>
    <row r="1726" s="29" customFormat="1" ht="13.35" customHeight="1"/>
    <row r="1727" s="29" customFormat="1" ht="13.35" customHeight="1"/>
    <row r="1728" s="29" customFormat="1" ht="13.35" customHeight="1"/>
    <row r="1729" s="29" customFormat="1" ht="13.35" customHeight="1"/>
    <row r="1730" s="29" customFormat="1" ht="13.35" customHeight="1"/>
    <row r="1731" s="29" customFormat="1" ht="13.35" customHeight="1"/>
    <row r="1732" s="29" customFormat="1" ht="13.35" customHeight="1"/>
    <row r="1733" s="29" customFormat="1" ht="13.35" customHeight="1"/>
    <row r="1734" s="29" customFormat="1" ht="13.35" customHeight="1"/>
    <row r="1735" s="29" customFormat="1" ht="13.35" customHeight="1"/>
    <row r="1736" s="29" customFormat="1" ht="13.35" customHeight="1"/>
    <row r="1737" s="29" customFormat="1" ht="13.35" customHeight="1"/>
    <row r="1738" s="29" customFormat="1" ht="13.35" customHeight="1"/>
    <row r="1739" s="29" customFormat="1" ht="13.35" customHeight="1"/>
    <row r="1740" s="29" customFormat="1" ht="13.35" customHeight="1"/>
    <row r="1741" s="29" customFormat="1" ht="13.35" customHeight="1"/>
    <row r="1742" s="29" customFormat="1" ht="13.35" customHeight="1"/>
    <row r="1743" s="29" customFormat="1" ht="13.35" customHeight="1"/>
    <row r="1744" s="29" customFormat="1" ht="13.35" customHeight="1"/>
    <row r="1745" s="29" customFormat="1" ht="13.35" customHeight="1"/>
    <row r="1746" s="29" customFormat="1" ht="13.35" customHeight="1"/>
    <row r="1747" s="29" customFormat="1" ht="13.35" customHeight="1"/>
    <row r="1748" s="29" customFormat="1" ht="13.35" customHeight="1"/>
    <row r="1749" s="29" customFormat="1" ht="13.35" customHeight="1"/>
    <row r="1750" s="29" customFormat="1" ht="13.35" customHeight="1"/>
    <row r="1751" s="29" customFormat="1" ht="13.35" customHeight="1"/>
    <row r="1752" s="29" customFormat="1" ht="13.35" customHeight="1"/>
    <row r="1753" s="29" customFormat="1" ht="13.35" customHeight="1"/>
    <row r="1754" s="29" customFormat="1" ht="13.35" customHeight="1"/>
    <row r="1755" s="29" customFormat="1" ht="13.35" customHeight="1"/>
    <row r="1756" s="29" customFormat="1" ht="13.35" customHeight="1"/>
    <row r="1757" s="29" customFormat="1" ht="13.35" customHeight="1"/>
    <row r="1758" s="29" customFormat="1" ht="13.35" customHeight="1"/>
    <row r="1759" s="29" customFormat="1" ht="13.35" customHeight="1"/>
    <row r="1760" s="29" customFormat="1" ht="13.35" customHeight="1"/>
    <row r="1761" s="29" customFormat="1" ht="13.35" customHeight="1"/>
    <row r="1762" s="29" customFormat="1" ht="13.35" customHeight="1"/>
    <row r="1763" s="29" customFormat="1" ht="13.35" customHeight="1"/>
    <row r="1764" s="29" customFormat="1" ht="13.35" customHeight="1"/>
    <row r="1765" s="29" customFormat="1" ht="13.35" customHeight="1"/>
    <row r="1766" s="29" customFormat="1" ht="13.35" customHeight="1"/>
    <row r="1767" s="29" customFormat="1" ht="13.35" customHeight="1"/>
    <row r="1768" s="29" customFormat="1" ht="13.35" customHeight="1"/>
    <row r="1769" s="29" customFormat="1" ht="13.35" customHeight="1"/>
    <row r="1770" s="29" customFormat="1" ht="13.35" customHeight="1"/>
    <row r="1771" s="29" customFormat="1" ht="13.35" customHeight="1"/>
    <row r="1772" s="29" customFormat="1" ht="13.35" customHeight="1"/>
    <row r="1773" s="29" customFormat="1" ht="13.35" customHeight="1"/>
    <row r="1774" s="29" customFormat="1" ht="13.35" customHeight="1"/>
    <row r="1775" s="29" customFormat="1" ht="13.35" customHeight="1"/>
    <row r="1776" s="29" customFormat="1" ht="13.35" customHeight="1"/>
    <row r="1777" s="29" customFormat="1" ht="13.35" customHeight="1"/>
    <row r="1778" s="29" customFormat="1" ht="13.35" customHeight="1"/>
    <row r="1779" s="29" customFormat="1" ht="13.35" customHeight="1"/>
    <row r="1780" s="29" customFormat="1" ht="13.35" customHeight="1"/>
    <row r="1781" s="29" customFormat="1" ht="13.35" customHeight="1"/>
    <row r="1782" s="29" customFormat="1" ht="13.35" customHeight="1"/>
    <row r="1783" s="29" customFormat="1" ht="13.35" customHeight="1"/>
    <row r="1784" s="29" customFormat="1" ht="13.35" customHeight="1"/>
    <row r="1785" s="29" customFormat="1" ht="13.35" customHeight="1"/>
    <row r="1786" s="29" customFormat="1" ht="13.35" customHeight="1"/>
    <row r="1787" s="29" customFormat="1" ht="13.35" customHeight="1"/>
    <row r="1788" s="29" customFormat="1" ht="13.35" customHeight="1"/>
    <row r="1789" s="29" customFormat="1" ht="13.35" customHeight="1"/>
    <row r="1790" s="29" customFormat="1" ht="13.35" customHeight="1"/>
    <row r="1791" s="29" customFormat="1" ht="13.35" customHeight="1"/>
    <row r="1792" s="29" customFormat="1" ht="13.35" customHeight="1"/>
    <row r="1793" s="29" customFormat="1" ht="13.35" customHeight="1"/>
    <row r="1794" s="29" customFormat="1" ht="13.35" customHeight="1"/>
    <row r="1795" s="29" customFormat="1" ht="13.35" customHeight="1"/>
    <row r="1796" s="29" customFormat="1" ht="13.35" customHeight="1"/>
    <row r="1797" s="29" customFormat="1" ht="13.35" customHeight="1"/>
    <row r="1798" s="29" customFormat="1" ht="13.35" customHeight="1"/>
    <row r="1799" s="29" customFormat="1" ht="13.35" customHeight="1"/>
    <row r="1800" s="29" customFormat="1" ht="13.35" customHeight="1"/>
    <row r="1801" s="29" customFormat="1" ht="13.35" customHeight="1"/>
    <row r="1802" s="29" customFormat="1" ht="13.35" customHeight="1"/>
    <row r="1803" s="29" customFormat="1" ht="13.35" customHeight="1"/>
    <row r="1804" s="29" customFormat="1" ht="13.35" customHeight="1"/>
    <row r="1805" s="29" customFormat="1" ht="13.35" customHeight="1"/>
    <row r="1806" s="29" customFormat="1" ht="13.35" customHeight="1"/>
    <row r="1807" s="29" customFormat="1" ht="13.35" customHeight="1"/>
    <row r="1808" s="29" customFormat="1" ht="13.35" customHeight="1"/>
    <row r="1809" s="29" customFormat="1" ht="13.35" customHeight="1"/>
    <row r="1810" s="29" customFormat="1" ht="13.35" customHeight="1"/>
    <row r="1811" s="29" customFormat="1" ht="13.35" customHeight="1"/>
    <row r="1812" s="29" customFormat="1" ht="13.35" customHeight="1"/>
    <row r="1813" s="29" customFormat="1" ht="13.35" customHeight="1"/>
    <row r="1814" s="29" customFormat="1" ht="13.35" customHeight="1"/>
    <row r="1815" s="29" customFormat="1" ht="13.35" customHeight="1"/>
    <row r="1816" s="29" customFormat="1" ht="13.35" customHeight="1"/>
    <row r="1817" s="29" customFormat="1" ht="13.35" customHeight="1"/>
    <row r="1818" s="29" customFormat="1" ht="13.35" customHeight="1"/>
    <row r="1819" s="29" customFormat="1" ht="13.35" customHeight="1"/>
    <row r="1820" s="29" customFormat="1" ht="13.35" customHeight="1"/>
    <row r="1821" s="29" customFormat="1" ht="13.35" customHeight="1"/>
    <row r="1822" s="29" customFormat="1" ht="13.35" customHeight="1"/>
    <row r="1823" s="29" customFormat="1" ht="13.35" customHeight="1"/>
    <row r="1824" s="29" customFormat="1" ht="13.35" customHeight="1"/>
    <row r="1825" s="29" customFormat="1" ht="13.35" customHeight="1"/>
    <row r="1826" s="29" customFormat="1" ht="13.35" customHeight="1"/>
    <row r="1827" s="29" customFormat="1" ht="13.35" customHeight="1"/>
    <row r="1828" s="29" customFormat="1" ht="13.35" customHeight="1"/>
    <row r="1829" s="29" customFormat="1" ht="13.35" customHeight="1"/>
    <row r="1830" s="29" customFormat="1" ht="13.35" customHeight="1"/>
    <row r="1831" s="29" customFormat="1" ht="13.35" customHeight="1"/>
    <row r="1832" s="29" customFormat="1" ht="13.35" customHeight="1"/>
    <row r="1833" s="29" customFormat="1" ht="13.35" customHeight="1"/>
    <row r="1834" s="29" customFormat="1" ht="13.35" customHeight="1"/>
    <row r="1835" s="29" customFormat="1" ht="13.35" customHeight="1"/>
    <row r="1836" s="29" customFormat="1" ht="13.35" customHeight="1"/>
    <row r="1837" s="29" customFormat="1" ht="13.35" customHeight="1"/>
    <row r="1838" s="29" customFormat="1" ht="13.35" customHeight="1"/>
    <row r="1839" s="29" customFormat="1" ht="13.35" customHeight="1"/>
    <row r="1840" s="29" customFormat="1" ht="13.35" customHeight="1"/>
    <row r="1841" s="29" customFormat="1" ht="13.35" customHeight="1"/>
    <row r="1842" s="29" customFormat="1" ht="13.35" customHeight="1"/>
    <row r="1843" s="29" customFormat="1" ht="13.35" customHeight="1"/>
    <row r="1844" s="29" customFormat="1" ht="13.35" customHeight="1"/>
    <row r="1845" s="29" customFormat="1" ht="13.35" customHeight="1"/>
    <row r="1846" s="29" customFormat="1" ht="13.35" customHeight="1"/>
    <row r="1847" s="29" customFormat="1" ht="13.35" customHeight="1"/>
    <row r="1848" s="29" customFormat="1" ht="13.35" customHeight="1"/>
    <row r="1849" s="29" customFormat="1" ht="13.35" customHeight="1"/>
    <row r="1850" s="29" customFormat="1" ht="13.35" customHeight="1"/>
    <row r="1851" s="29" customFormat="1" ht="13.35" customHeight="1"/>
    <row r="1852" s="29" customFormat="1" ht="13.35" customHeight="1"/>
    <row r="1853" s="29" customFormat="1" ht="13.35" customHeight="1"/>
    <row r="1854" s="29" customFormat="1" ht="13.35" customHeight="1"/>
    <row r="1855" s="29" customFormat="1" ht="13.35" customHeight="1"/>
    <row r="1856" s="29" customFormat="1" ht="13.35" customHeight="1"/>
    <row r="1857" s="29" customFormat="1" ht="13.35" customHeight="1"/>
    <row r="1858" s="29" customFormat="1" ht="13.35" customHeight="1"/>
    <row r="1859" s="29" customFormat="1" ht="13.35" customHeight="1"/>
    <row r="1860" s="29" customFormat="1" ht="13.35" customHeight="1"/>
    <row r="1861" s="29" customFormat="1" ht="13.35" customHeight="1"/>
    <row r="1862" s="29" customFormat="1" ht="13.35" customHeight="1"/>
    <row r="1863" s="29" customFormat="1" ht="13.35" customHeight="1"/>
    <row r="1864" s="29" customFormat="1" ht="13.35" customHeight="1"/>
    <row r="1865" s="29" customFormat="1" ht="13.35" customHeight="1"/>
    <row r="1866" s="29" customFormat="1" ht="13.35" customHeight="1"/>
    <row r="1867" s="29" customFormat="1" ht="13.35" customHeight="1"/>
    <row r="1868" s="29" customFormat="1" ht="13.35" customHeight="1"/>
    <row r="1869" s="29" customFormat="1" ht="13.35" customHeight="1"/>
    <row r="1870" s="29" customFormat="1" ht="13.35" customHeight="1"/>
    <row r="1871" s="29" customFormat="1" ht="13.35" customHeight="1"/>
    <row r="1872" s="29" customFormat="1" ht="13.35" customHeight="1"/>
    <row r="1873" s="29" customFormat="1" ht="13.35" customHeight="1"/>
    <row r="1874" s="29" customFormat="1" ht="13.35" customHeight="1"/>
    <row r="1875" s="29" customFormat="1" ht="13.35" customHeight="1"/>
    <row r="1876" s="29" customFormat="1" ht="13.35" customHeight="1"/>
    <row r="1877" s="29" customFormat="1" ht="13.35" customHeight="1"/>
    <row r="1878" s="29" customFormat="1" ht="13.35" customHeight="1"/>
    <row r="1879" s="29" customFormat="1" ht="13.35" customHeight="1"/>
    <row r="1880" s="29" customFormat="1" ht="13.35" customHeight="1"/>
    <row r="1881" s="29" customFormat="1" ht="13.35" customHeight="1"/>
    <row r="1882" s="29" customFormat="1" ht="13.35" customHeight="1"/>
    <row r="1883" s="29" customFormat="1" ht="13.35" customHeight="1"/>
    <row r="1884" s="29" customFormat="1" ht="13.35" customHeight="1"/>
    <row r="1885" s="29" customFormat="1" ht="13.35" customHeight="1"/>
    <row r="1886" s="29" customFormat="1" ht="13.35" customHeight="1"/>
    <row r="1887" s="29" customFormat="1" ht="13.35" customHeight="1"/>
    <row r="1888" s="29" customFormat="1" ht="13.35" customHeight="1"/>
    <row r="1889" s="29" customFormat="1" ht="13.35" customHeight="1"/>
    <row r="1890" s="29" customFormat="1" ht="13.35" customHeight="1"/>
    <row r="1891" s="29" customFormat="1" ht="13.35" customHeight="1"/>
    <row r="1892" s="29" customFormat="1" ht="13.35" customHeight="1"/>
    <row r="1893" s="29" customFormat="1" ht="13.35" customHeight="1"/>
    <row r="1894" s="29" customFormat="1" ht="13.35" customHeight="1"/>
    <row r="1895" s="29" customFormat="1" ht="13.35" customHeight="1"/>
    <row r="1896" s="29" customFormat="1" ht="13.35" customHeight="1"/>
    <row r="1897" s="29" customFormat="1" ht="13.35" customHeight="1"/>
    <row r="1898" s="29" customFormat="1" ht="13.35" customHeight="1"/>
    <row r="1899" s="29" customFormat="1" ht="13.35" customHeight="1"/>
    <row r="1900" s="29" customFormat="1" ht="13.35" customHeight="1"/>
    <row r="1901" s="29" customFormat="1" ht="13.35" customHeight="1"/>
    <row r="1902" s="29" customFormat="1" ht="13.35" customHeight="1"/>
    <row r="1903" s="29" customFormat="1" ht="13.35" customHeight="1"/>
    <row r="1904" s="29" customFormat="1" ht="13.35" customHeight="1"/>
    <row r="1905" s="29" customFormat="1" ht="13.35" customHeight="1"/>
    <row r="1906" s="29" customFormat="1" ht="13.35" customHeight="1"/>
    <row r="1907" s="29" customFormat="1" ht="13.35" customHeight="1"/>
    <row r="1908" s="29" customFormat="1" ht="13.35" customHeight="1"/>
    <row r="1909" s="29" customFormat="1" ht="13.35" customHeight="1"/>
    <row r="1910" s="29" customFormat="1" ht="13.35" customHeight="1"/>
    <row r="1911" s="29" customFormat="1" ht="13.35" customHeight="1"/>
    <row r="1912" s="29" customFormat="1" ht="13.35" customHeight="1"/>
    <row r="1913" s="29" customFormat="1" ht="13.35" customHeight="1"/>
    <row r="1914" s="29" customFormat="1" ht="13.35" customHeight="1"/>
    <row r="1915" s="29" customFormat="1" ht="13.35" customHeight="1"/>
    <row r="1916" s="29" customFormat="1" ht="13.35" customHeight="1"/>
    <row r="1917" s="29" customFormat="1" ht="13.35" customHeight="1"/>
    <row r="1918" s="29" customFormat="1" ht="13.35" customHeight="1"/>
    <row r="1919" s="29" customFormat="1" ht="13.35" customHeight="1"/>
    <row r="1920" s="29" customFormat="1" ht="13.35" customHeight="1"/>
    <row r="1921" s="29" customFormat="1" ht="13.35" customHeight="1"/>
    <row r="1922" s="29" customFormat="1" ht="13.35" customHeight="1"/>
    <row r="1923" s="29" customFormat="1" ht="13.35" customHeight="1"/>
    <row r="1924" s="29" customFormat="1" ht="13.35" customHeight="1"/>
    <row r="1925" s="29" customFormat="1" ht="13.35" customHeight="1"/>
    <row r="1926" s="29" customFormat="1" ht="13.35" customHeight="1"/>
    <row r="1927" s="29" customFormat="1" ht="13.35" customHeight="1"/>
    <row r="1928" s="29" customFormat="1" ht="13.35" customHeight="1"/>
    <row r="1929" s="29" customFormat="1" ht="13.35" customHeight="1"/>
    <row r="1930" s="29" customFormat="1" ht="13.35" customHeight="1"/>
    <row r="1931" s="29" customFormat="1" ht="13.35" customHeight="1"/>
    <row r="1932" s="29" customFormat="1" ht="13.35" customHeight="1"/>
    <row r="1933" s="29" customFormat="1" ht="13.35" customHeight="1"/>
    <row r="1934" s="29" customFormat="1" ht="13.35" customHeight="1"/>
    <row r="1935" s="29" customFormat="1" ht="13.35" customHeight="1"/>
    <row r="1936" s="29" customFormat="1" ht="13.35" customHeight="1"/>
    <row r="1937" s="29" customFormat="1" ht="13.35" customHeight="1"/>
    <row r="1938" s="29" customFormat="1" ht="13.35" customHeight="1"/>
    <row r="1939" s="29" customFormat="1" ht="13.35" customHeight="1"/>
    <row r="1940" s="29" customFormat="1" ht="13.35" customHeight="1"/>
    <row r="1941" s="29" customFormat="1" ht="13.35" customHeight="1"/>
    <row r="1942" s="29" customFormat="1" ht="13.35" customHeight="1"/>
    <row r="1943" s="29" customFormat="1" ht="13.35" customHeight="1"/>
    <row r="1944" s="29" customFormat="1" ht="13.35" customHeight="1"/>
    <row r="1945" s="29" customFormat="1" ht="13.35" customHeight="1"/>
    <row r="1946" s="29" customFormat="1" ht="13.35" customHeight="1"/>
    <row r="1947" s="29" customFormat="1" ht="13.35" customHeight="1"/>
    <row r="1948" s="29" customFormat="1" ht="13.35" customHeight="1"/>
    <row r="1949" s="29" customFormat="1" ht="13.35" customHeight="1"/>
    <row r="1950" s="29" customFormat="1" ht="13.35" customHeight="1"/>
    <row r="1951" s="29" customFormat="1" ht="13.35" customHeight="1"/>
    <row r="1952" s="29" customFormat="1" ht="13.35" customHeight="1"/>
    <row r="1953" s="29" customFormat="1" ht="13.35" customHeight="1"/>
    <row r="1954" s="29" customFormat="1" ht="13.35" customHeight="1"/>
    <row r="1955" s="29" customFormat="1" ht="13.35" customHeight="1"/>
    <row r="1956" s="29" customFormat="1" ht="13.35" customHeight="1"/>
    <row r="1957" s="29" customFormat="1" ht="13.35" customHeight="1"/>
    <row r="1958" s="29" customFormat="1" ht="13.35" customHeight="1"/>
    <row r="1959" s="29" customFormat="1" ht="13.35" customHeight="1"/>
    <row r="1960" s="29" customFormat="1" ht="13.35" customHeight="1"/>
    <row r="1961" s="29" customFormat="1" ht="13.35" customHeight="1"/>
    <row r="1962" s="29" customFormat="1" ht="13.35" customHeight="1"/>
    <row r="1963" s="29" customFormat="1" ht="13.35" customHeight="1"/>
    <row r="1964" s="29" customFormat="1" ht="13.35" customHeight="1"/>
    <row r="1965" s="29" customFormat="1" ht="13.35" customHeight="1"/>
    <row r="1966" s="29" customFormat="1" ht="13.35" customHeight="1"/>
    <row r="1967" s="29" customFormat="1" ht="13.35" customHeight="1"/>
    <row r="1968" s="29" customFormat="1" ht="13.35" customHeight="1"/>
    <row r="1969" s="29" customFormat="1" ht="13.35" customHeight="1"/>
    <row r="1970" s="29" customFormat="1" ht="13.35" customHeight="1"/>
    <row r="1971" s="29" customFormat="1" ht="13.35" customHeight="1"/>
    <row r="1972" s="29" customFormat="1" ht="13.35" customHeight="1"/>
    <row r="1973" s="29" customFormat="1" ht="13.35" customHeight="1"/>
    <row r="1974" s="29" customFormat="1" ht="13.35" customHeight="1"/>
    <row r="1975" s="29" customFormat="1" ht="13.35" customHeight="1"/>
    <row r="1976" s="29" customFormat="1" ht="13.35" customHeight="1"/>
    <row r="1977" s="29" customFormat="1" ht="13.35" customHeight="1"/>
    <row r="1978" s="29" customFormat="1" ht="13.35" customHeight="1"/>
    <row r="1979" s="29" customFormat="1" ht="13.35" customHeight="1"/>
    <row r="1980" s="29" customFormat="1" ht="13.35" customHeight="1"/>
    <row r="1981" s="29" customFormat="1" ht="13.35" customHeight="1"/>
    <row r="1982" s="29" customFormat="1" ht="13.35" customHeight="1"/>
    <row r="1983" s="29" customFormat="1" ht="13.35" customHeight="1"/>
    <row r="1984" s="29" customFormat="1" ht="13.35" customHeight="1"/>
    <row r="1985" s="29" customFormat="1" ht="13.35" customHeight="1"/>
    <row r="1986" s="29" customFormat="1" ht="13.35" customHeight="1"/>
    <row r="1987" s="29" customFormat="1" ht="13.35" customHeight="1"/>
    <row r="1988" s="29" customFormat="1" ht="13.35" customHeight="1"/>
    <row r="1989" s="29" customFormat="1" ht="13.35" customHeight="1"/>
    <row r="1990" s="29" customFormat="1" ht="13.35" customHeight="1"/>
    <row r="1991" s="29" customFormat="1" ht="13.35" customHeight="1"/>
    <row r="1992" s="29" customFormat="1" ht="13.35" customHeight="1"/>
    <row r="1993" s="29" customFormat="1" ht="13.35" customHeight="1"/>
    <row r="1994" s="29" customFormat="1" ht="13.35" customHeight="1"/>
    <row r="1995" s="29" customFormat="1" ht="13.35" customHeight="1"/>
    <row r="1996" s="29" customFormat="1" ht="13.35" customHeight="1"/>
    <row r="1997" s="29" customFormat="1" ht="13.35" customHeight="1"/>
    <row r="1998" s="29" customFormat="1" ht="13.35" customHeight="1"/>
    <row r="1999" s="29" customFormat="1" ht="13.35" customHeight="1"/>
    <row r="2000" s="29" customFormat="1" ht="13.35" customHeight="1"/>
    <row r="2001" s="29" customFormat="1" ht="13.35" customHeight="1"/>
    <row r="2002" s="29" customFormat="1" ht="13.35" customHeight="1"/>
    <row r="2003" s="29" customFormat="1" ht="13.35" customHeight="1"/>
    <row r="2004" s="29" customFormat="1" ht="13.35" customHeight="1"/>
    <row r="2005" s="29" customFormat="1" ht="13.35" customHeight="1"/>
    <row r="2006" s="29" customFormat="1" ht="13.35" customHeight="1"/>
    <row r="2007" s="29" customFormat="1" ht="13.35" customHeight="1"/>
    <row r="2008" s="29" customFormat="1" ht="13.35" customHeight="1"/>
    <row r="2009" s="29" customFormat="1" ht="13.35" customHeight="1"/>
    <row r="2010" s="29" customFormat="1" ht="13.35" customHeight="1"/>
    <row r="2011" s="29" customFormat="1" ht="13.35" customHeight="1"/>
    <row r="2012" s="29" customFormat="1" ht="13.35" customHeight="1"/>
    <row r="2013" s="29" customFormat="1" ht="13.35" customHeight="1"/>
    <row r="2014" s="29" customFormat="1" ht="13.35" customHeight="1"/>
    <row r="2015" s="29" customFormat="1" ht="13.35" customHeight="1"/>
    <row r="2016" s="29" customFormat="1" ht="13.35" customHeight="1"/>
    <row r="2017" s="29" customFormat="1" ht="13.35" customHeight="1"/>
    <row r="2018" s="29" customFormat="1" ht="13.35" customHeight="1"/>
    <row r="2019" s="29" customFormat="1" ht="13.35" customHeight="1"/>
    <row r="2020" s="29" customFormat="1" ht="13.35" customHeight="1"/>
    <row r="2021" s="29" customFormat="1" ht="13.35" customHeight="1"/>
    <row r="2022" s="29" customFormat="1" ht="13.35" customHeight="1"/>
    <row r="2023" s="29" customFormat="1" ht="13.35" customHeight="1"/>
    <row r="2024" s="29" customFormat="1" ht="13.35" customHeight="1"/>
    <row r="2025" s="29" customFormat="1" ht="13.35" customHeight="1"/>
    <row r="2026" s="29" customFormat="1" ht="13.35" customHeight="1"/>
    <row r="2027" s="29" customFormat="1" ht="13.35" customHeight="1"/>
    <row r="2028" s="29" customFormat="1" ht="13.35" customHeight="1"/>
    <row r="2029" s="29" customFormat="1" ht="13.35" customHeight="1"/>
    <row r="2030" s="29" customFormat="1" ht="13.35" customHeight="1"/>
    <row r="2031" s="29" customFormat="1" ht="13.35" customHeight="1"/>
    <row r="2032" s="29" customFormat="1" ht="13.35" customHeight="1"/>
    <row r="2033" s="29" customFormat="1" ht="13.35" customHeight="1"/>
    <row r="2034" s="29" customFormat="1" ht="13.35" customHeight="1"/>
    <row r="2035" s="29" customFormat="1" ht="13.35" customHeight="1"/>
    <row r="2036" s="29" customFormat="1" ht="13.35" customHeight="1"/>
    <row r="2037" s="29" customFormat="1" ht="13.35" customHeight="1"/>
    <row r="2038" s="29" customFormat="1" ht="13.35" customHeight="1"/>
    <row r="2039" s="29" customFormat="1" ht="13.35" customHeight="1"/>
    <row r="2040" s="29" customFormat="1" ht="13.35" customHeight="1"/>
    <row r="2041" s="29" customFormat="1" ht="13.35" customHeight="1"/>
    <row r="2042" s="29" customFormat="1" ht="13.35" customHeight="1"/>
    <row r="2043" s="29" customFormat="1" ht="13.35" customHeight="1"/>
    <row r="2044" s="29" customFormat="1" ht="13.35" customHeight="1"/>
    <row r="2045" s="29" customFormat="1" ht="13.35" customHeight="1"/>
    <row r="2046" s="29" customFormat="1" ht="13.35" customHeight="1"/>
    <row r="2047" s="29" customFormat="1" ht="13.35" customHeight="1"/>
    <row r="2048" s="29" customFormat="1" ht="13.35" customHeight="1"/>
    <row r="2049" s="29" customFormat="1" ht="13.35" customHeight="1"/>
    <row r="2050" s="29" customFormat="1" ht="13.35" customHeight="1"/>
    <row r="2051" s="29" customFormat="1" ht="13.35" customHeight="1"/>
    <row r="2052" s="29" customFormat="1" ht="13.35" customHeight="1"/>
    <row r="2053" s="29" customFormat="1" ht="13.35" customHeight="1"/>
    <row r="2054" s="29" customFormat="1" ht="13.35" customHeight="1"/>
    <row r="2055" s="29" customFormat="1" ht="13.35" customHeight="1"/>
    <row r="2056" s="29" customFormat="1" ht="13.35" customHeight="1"/>
    <row r="2057" s="29" customFormat="1" ht="13.35" customHeight="1"/>
    <row r="2058" s="29" customFormat="1" ht="13.35" customHeight="1"/>
    <row r="2059" s="29" customFormat="1" ht="13.35" customHeight="1"/>
    <row r="2060" s="29" customFormat="1" ht="13.35" customHeight="1"/>
    <row r="2061" s="29" customFormat="1" ht="13.35" customHeight="1"/>
    <row r="2062" s="29" customFormat="1" ht="13.35" customHeight="1"/>
    <row r="2063" s="29" customFormat="1" ht="13.35" customHeight="1"/>
    <row r="2064" s="29" customFormat="1" ht="13.35" customHeight="1"/>
    <row r="2065" s="29" customFormat="1" ht="13.35" customHeight="1"/>
    <row r="2066" s="29" customFormat="1" ht="13.35" customHeight="1"/>
    <row r="2067" s="29" customFormat="1" ht="13.35" customHeight="1"/>
    <row r="2068" s="29" customFormat="1" ht="13.35" customHeight="1"/>
    <row r="2069" s="29" customFormat="1" ht="13.35" customHeight="1"/>
    <row r="2070" s="29" customFormat="1" ht="13.35" customHeight="1"/>
    <row r="2071" s="29" customFormat="1" ht="13.35" customHeight="1"/>
    <row r="2072" s="29" customFormat="1" ht="13.35" customHeight="1"/>
    <row r="2073" s="29" customFormat="1" ht="13.35" customHeight="1"/>
    <row r="2074" s="29" customFormat="1" ht="13.35" customHeight="1"/>
    <row r="2075" s="29" customFormat="1" ht="13.35" customHeight="1"/>
    <row r="2076" s="29" customFormat="1" ht="13.35" customHeight="1"/>
    <row r="2077" s="29" customFormat="1" ht="13.35" customHeight="1"/>
    <row r="2078" s="29" customFormat="1" ht="13.35" customHeight="1"/>
    <row r="2079" s="29" customFormat="1" ht="13.35" customHeight="1"/>
    <row r="2080" s="29" customFormat="1" ht="13.35" customHeight="1"/>
    <row r="2081" s="29" customFormat="1" ht="13.35" customHeight="1"/>
    <row r="2082" s="29" customFormat="1" ht="13.35" customHeight="1"/>
    <row r="2083" s="29" customFormat="1" ht="13.35" customHeight="1"/>
    <row r="2084" s="29" customFormat="1" ht="13.35" customHeight="1"/>
    <row r="2085" s="29" customFormat="1" ht="13.35" customHeight="1"/>
    <row r="2086" s="29" customFormat="1" ht="13.35" customHeight="1"/>
    <row r="2087" s="29" customFormat="1" ht="13.35" customHeight="1"/>
    <row r="2088" s="29" customFormat="1" ht="13.35" customHeight="1"/>
    <row r="2089" s="29" customFormat="1" ht="13.35" customHeight="1"/>
    <row r="2090" s="29" customFormat="1" ht="13.35" customHeight="1"/>
    <row r="2091" s="29" customFormat="1" ht="13.35" customHeight="1"/>
    <row r="2092" s="29" customFormat="1" ht="13.35" customHeight="1"/>
    <row r="2093" s="29" customFormat="1" ht="13.35" customHeight="1"/>
    <row r="2094" s="29" customFormat="1" ht="13.35" customHeight="1"/>
    <row r="2095" s="29" customFormat="1" ht="13.35" customHeight="1"/>
    <row r="2096" s="29" customFormat="1" ht="13.35" customHeight="1"/>
    <row r="2097" s="29" customFormat="1" ht="13.35" customHeight="1"/>
    <row r="2098" s="29" customFormat="1" ht="13.35" customHeight="1"/>
    <row r="2099" s="29" customFormat="1" ht="13.35" customHeight="1"/>
    <row r="2100" s="29" customFormat="1" ht="13.35" customHeight="1"/>
    <row r="2101" s="29" customFormat="1" ht="13.35" customHeight="1"/>
    <row r="2102" s="29" customFormat="1" ht="13.35" customHeight="1"/>
    <row r="2103" s="29" customFormat="1" ht="13.35" customHeight="1"/>
    <row r="2104" s="29" customFormat="1" ht="13.35" customHeight="1"/>
    <row r="2105" s="29" customFormat="1" ht="13.35" customHeight="1"/>
    <row r="2106" s="29" customFormat="1" ht="13.35" customHeight="1"/>
    <row r="2107" s="29" customFormat="1" ht="13.35" customHeight="1"/>
    <row r="2108" s="29" customFormat="1" ht="13.35" customHeight="1"/>
    <row r="2109" s="29" customFormat="1" ht="13.35" customHeight="1"/>
    <row r="2110" s="29" customFormat="1" ht="13.35" customHeight="1"/>
    <row r="2111" s="29" customFormat="1" ht="13.35" customHeight="1"/>
    <row r="2112" s="29" customFormat="1" ht="13.35" customHeight="1"/>
    <row r="2113" s="29" customFormat="1" ht="13.35" customHeight="1"/>
    <row r="2114" s="29" customFormat="1" ht="13.35" customHeight="1"/>
    <row r="2115" s="29" customFormat="1" ht="13.35" customHeight="1"/>
    <row r="2116" s="29" customFormat="1" ht="13.35" customHeight="1"/>
    <row r="2117" s="29" customFormat="1" ht="13.35" customHeight="1"/>
    <row r="2118" s="29" customFormat="1" ht="13.35" customHeight="1"/>
    <row r="2119" s="29" customFormat="1" ht="13.35" customHeight="1"/>
    <row r="2120" s="29" customFormat="1" ht="13.35" customHeight="1"/>
    <row r="2121" s="29" customFormat="1" ht="13.35" customHeight="1"/>
    <row r="2122" s="29" customFormat="1" ht="13.35" customHeight="1"/>
    <row r="2123" s="29" customFormat="1" ht="13.35" customHeight="1"/>
    <row r="2124" s="29" customFormat="1" ht="13.35" customHeight="1"/>
    <row r="2125" s="29" customFormat="1" ht="13.35" customHeight="1"/>
    <row r="2126" s="29" customFormat="1" ht="13.35" customHeight="1"/>
    <row r="2127" s="29" customFormat="1" ht="13.35" customHeight="1"/>
    <row r="2128" s="29" customFormat="1" ht="13.35" customHeight="1"/>
    <row r="2129" s="29" customFormat="1" ht="13.35" customHeight="1"/>
    <row r="2130" s="29" customFormat="1" ht="13.35" customHeight="1"/>
    <row r="2131" s="29" customFormat="1" ht="13.35" customHeight="1"/>
    <row r="2132" s="29" customFormat="1" ht="13.35" customHeight="1"/>
    <row r="2133" s="29" customFormat="1" ht="13.35" customHeight="1"/>
    <row r="2134" s="29" customFormat="1" ht="13.35" customHeight="1"/>
    <row r="2135" s="29" customFormat="1" ht="13.35" customHeight="1"/>
    <row r="2136" s="29" customFormat="1" ht="13.35" customHeight="1"/>
    <row r="2137" s="29" customFormat="1" ht="13.35" customHeight="1"/>
    <row r="2138" s="29" customFormat="1" ht="13.35" customHeight="1"/>
    <row r="2139" s="29" customFormat="1" ht="13.35" customHeight="1"/>
    <row r="2140" s="29" customFormat="1" ht="13.35" customHeight="1"/>
    <row r="2141" s="29" customFormat="1" ht="13.35" customHeight="1"/>
    <row r="2142" s="29" customFormat="1" ht="13.35" customHeight="1"/>
    <row r="2143" s="29" customFormat="1" ht="13.35" customHeight="1"/>
    <row r="2144" s="29" customFormat="1" ht="13.35" customHeight="1"/>
    <row r="2145" s="29" customFormat="1" ht="13.35" customHeight="1"/>
    <row r="2146" s="29" customFormat="1" ht="13.35" customHeight="1"/>
    <row r="2147" s="29" customFormat="1" ht="13.35" customHeight="1"/>
    <row r="2148" s="29" customFormat="1" ht="13.35" customHeight="1"/>
    <row r="2149" s="29" customFormat="1" ht="13.35" customHeight="1"/>
    <row r="2150" s="29" customFormat="1" ht="13.35" customHeight="1"/>
    <row r="2151" s="29" customFormat="1" ht="13.35" customHeight="1"/>
    <row r="2152" s="29" customFormat="1" ht="13.35" customHeight="1"/>
    <row r="2153" s="29" customFormat="1" ht="13.35" customHeight="1"/>
    <row r="2154" s="29" customFormat="1" ht="13.35" customHeight="1"/>
    <row r="2155" s="29" customFormat="1" ht="13.35" customHeight="1"/>
    <row r="2156" s="29" customFormat="1" ht="13.35" customHeight="1"/>
    <row r="2157" s="29" customFormat="1" ht="13.35" customHeight="1"/>
    <row r="2158" s="29" customFormat="1" ht="13.35" customHeight="1"/>
    <row r="2159" s="29" customFormat="1" ht="13.35" customHeight="1"/>
    <row r="2160" s="29" customFormat="1" ht="13.35" customHeight="1"/>
    <row r="2161" s="29" customFormat="1" ht="13.35" customHeight="1"/>
    <row r="2162" s="29" customFormat="1" ht="13.35" customHeight="1"/>
    <row r="2163" s="29" customFormat="1" ht="13.35" customHeight="1"/>
    <row r="2164" s="29" customFormat="1" ht="13.35" customHeight="1"/>
    <row r="2165" s="29" customFormat="1" ht="13.35" customHeight="1"/>
    <row r="2166" s="29" customFormat="1" ht="13.35" customHeight="1"/>
    <row r="2167" s="29" customFormat="1" ht="13.35" customHeight="1"/>
    <row r="2168" s="29" customFormat="1" ht="13.35" customHeight="1"/>
    <row r="2169" s="29" customFormat="1" ht="13.35" customHeight="1"/>
    <row r="2170" s="29" customFormat="1" ht="13.35" customHeight="1"/>
    <row r="2171" s="29" customFormat="1" ht="13.35" customHeight="1"/>
    <row r="2172" s="29" customFormat="1" ht="13.35" customHeight="1"/>
    <row r="2173" s="29" customFormat="1" ht="13.35" customHeight="1"/>
    <row r="2174" s="29" customFormat="1" ht="13.35" customHeight="1"/>
    <row r="2175" s="29" customFormat="1" ht="13.35" customHeight="1"/>
    <row r="2176" s="29" customFormat="1" ht="13.35" customHeight="1"/>
    <row r="2177" s="29" customFormat="1" ht="13.35" customHeight="1"/>
    <row r="2178" s="29" customFormat="1" ht="13.35" customHeight="1"/>
    <row r="2179" s="29" customFormat="1" ht="13.35" customHeight="1"/>
    <row r="2180" s="29" customFormat="1" ht="13.35" customHeight="1"/>
    <row r="2181" s="29" customFormat="1" ht="13.35" customHeight="1"/>
    <row r="2182" s="29" customFormat="1" ht="13.35" customHeight="1"/>
    <row r="2183" s="29" customFormat="1" ht="13.35" customHeight="1"/>
    <row r="2184" s="29" customFormat="1" ht="13.35" customHeight="1"/>
    <row r="2185" s="29" customFormat="1" ht="13.35" customHeight="1"/>
    <row r="2186" s="29" customFormat="1" ht="13.35" customHeight="1"/>
    <row r="2187" s="29" customFormat="1" ht="13.35" customHeight="1"/>
    <row r="2188" s="29" customFormat="1" ht="13.35" customHeight="1"/>
    <row r="2189" s="29" customFormat="1" ht="13.35" customHeight="1"/>
    <row r="2190" s="29" customFormat="1" ht="13.35" customHeight="1"/>
    <row r="2191" s="29" customFormat="1" ht="13.35" customHeight="1"/>
    <row r="2192" s="29" customFormat="1" ht="13.35" customHeight="1"/>
    <row r="2193" s="29" customFormat="1" ht="13.35" customHeight="1"/>
    <row r="2194" s="29" customFormat="1" ht="13.35" customHeight="1"/>
    <row r="2195" s="29" customFormat="1" ht="13.35" customHeight="1"/>
    <row r="2196" s="29" customFormat="1" ht="13.35" customHeight="1"/>
    <row r="2197" s="29" customFormat="1" ht="13.35" customHeight="1"/>
    <row r="2198" s="29" customFormat="1" ht="13.35" customHeight="1"/>
    <row r="2199" s="29" customFormat="1" ht="13.35" customHeight="1"/>
    <row r="2200" s="29" customFormat="1" ht="13.35" customHeight="1"/>
    <row r="2201" s="29" customFormat="1" ht="13.35" customHeight="1"/>
    <row r="2202" s="29" customFormat="1" ht="13.35" customHeight="1"/>
    <row r="2203" s="29" customFormat="1" ht="13.35" customHeight="1"/>
    <row r="2204" s="29" customFormat="1" ht="13.35" customHeight="1"/>
    <row r="2205" s="29" customFormat="1" ht="13.35" customHeight="1"/>
    <row r="2206" s="29" customFormat="1" ht="13.35" customHeight="1"/>
    <row r="2207" s="29" customFormat="1" ht="13.35" customHeight="1"/>
    <row r="2208" s="29" customFormat="1" ht="13.35" customHeight="1"/>
    <row r="2209" s="29" customFormat="1" ht="13.35" customHeight="1"/>
    <row r="2210" s="29" customFormat="1" ht="13.35" customHeight="1"/>
    <row r="2211" s="29" customFormat="1" ht="13.35" customHeight="1"/>
    <row r="2212" s="29" customFormat="1" ht="13.35" customHeight="1"/>
    <row r="2213" s="29" customFormat="1" ht="13.35" customHeight="1"/>
    <row r="2214" s="29" customFormat="1" ht="13.35" customHeight="1"/>
    <row r="2215" s="29" customFormat="1" ht="13.35" customHeight="1"/>
    <row r="2216" s="29" customFormat="1" ht="13.35" customHeight="1"/>
    <row r="2217" s="29" customFormat="1" ht="13.35" customHeight="1"/>
    <row r="2218" s="29" customFormat="1" ht="13.35" customHeight="1"/>
    <row r="2219" s="29" customFormat="1" ht="13.35" customHeight="1"/>
    <row r="2220" s="29" customFormat="1" ht="13.35" customHeight="1"/>
    <row r="2221" s="29" customFormat="1" ht="13.35" customHeight="1"/>
    <row r="2222" s="29" customFormat="1" ht="13.35" customHeight="1"/>
    <row r="2223" s="29" customFormat="1" ht="13.35" customHeight="1"/>
    <row r="2224" s="29" customFormat="1" ht="13.35" customHeight="1"/>
    <row r="2225" s="29" customFormat="1" ht="13.35" customHeight="1"/>
    <row r="2226" s="29" customFormat="1" ht="13.35" customHeight="1"/>
    <row r="2227" s="29" customFormat="1" ht="13.35" customHeight="1"/>
    <row r="2228" s="29" customFormat="1" ht="13.35" customHeight="1"/>
    <row r="2229" s="29" customFormat="1" ht="13.35" customHeight="1"/>
    <row r="2230" s="29" customFormat="1" ht="13.35" customHeight="1"/>
    <row r="2231" s="29" customFormat="1" ht="13.35" customHeight="1"/>
    <row r="2232" s="29" customFormat="1" ht="13.35" customHeight="1"/>
    <row r="2233" s="29" customFormat="1" ht="13.35" customHeight="1"/>
    <row r="2234" s="29" customFormat="1" ht="13.35" customHeight="1"/>
    <row r="2235" s="29" customFormat="1" ht="13.35" customHeight="1"/>
    <row r="2236" s="29" customFormat="1" ht="13.35" customHeight="1"/>
    <row r="2237" s="29" customFormat="1" ht="13.35" customHeight="1"/>
    <row r="2238" s="29" customFormat="1" ht="13.35" customHeight="1"/>
    <row r="2239" s="29" customFormat="1" ht="13.35" customHeight="1"/>
    <row r="2240" s="29" customFormat="1" ht="13.35" customHeight="1"/>
    <row r="2241" s="29" customFormat="1" ht="13.35" customHeight="1"/>
    <row r="2242" s="29" customFormat="1" ht="13.35" customHeight="1"/>
    <row r="2243" s="29" customFormat="1" ht="13.35" customHeight="1"/>
    <row r="2244" s="29" customFormat="1" ht="13.35" customHeight="1"/>
    <row r="2245" s="29" customFormat="1" ht="13.35" customHeight="1"/>
    <row r="2246" s="29" customFormat="1" ht="13.35" customHeight="1"/>
    <row r="2247" s="29" customFormat="1" ht="13.35" customHeight="1"/>
    <row r="2248" s="29" customFormat="1" ht="13.35" customHeight="1"/>
    <row r="2249" s="29" customFormat="1" ht="13.35" customHeight="1"/>
    <row r="2250" s="29" customFormat="1" ht="13.35" customHeight="1"/>
    <row r="2251" s="29" customFormat="1" ht="13.35" customHeight="1"/>
    <row r="2252" s="29" customFormat="1" ht="13.35" customHeight="1"/>
    <row r="2253" s="29" customFormat="1" ht="13.35" customHeight="1"/>
    <row r="2254" s="29" customFormat="1" ht="13.35" customHeight="1"/>
    <row r="2255" s="29" customFormat="1" ht="13.35" customHeight="1"/>
    <row r="2256" s="29" customFormat="1" ht="13.35" customHeight="1"/>
    <row r="2257" s="29" customFormat="1" ht="13.35" customHeight="1"/>
    <row r="2258" s="29" customFormat="1" ht="13.35" customHeight="1"/>
    <row r="2259" s="29" customFormat="1" ht="13.35" customHeight="1"/>
    <row r="2260" s="29" customFormat="1" ht="13.35" customHeight="1"/>
    <row r="2261" s="29" customFormat="1" ht="13.35" customHeight="1"/>
    <row r="2262" s="29" customFormat="1" ht="13.35" customHeight="1"/>
    <row r="2263" s="29" customFormat="1" ht="13.35" customHeight="1"/>
    <row r="2264" s="29" customFormat="1" ht="13.35" customHeight="1"/>
    <row r="2265" s="29" customFormat="1" ht="13.35" customHeight="1"/>
    <row r="2266" s="29" customFormat="1" ht="13.35" customHeight="1"/>
    <row r="2267" s="29" customFormat="1" ht="13.35" customHeight="1"/>
    <row r="2268" s="29" customFormat="1" ht="13.35" customHeight="1"/>
    <row r="2269" s="29" customFormat="1" ht="13.35" customHeight="1"/>
    <row r="2270" s="29" customFormat="1" ht="13.35" customHeight="1"/>
    <row r="2271" s="29" customFormat="1" ht="13.35" customHeight="1"/>
    <row r="2272" s="29" customFormat="1" ht="13.35" customHeight="1"/>
    <row r="2273" s="29" customFormat="1" ht="13.35" customHeight="1"/>
    <row r="2274" s="29" customFormat="1" ht="13.35" customHeight="1"/>
    <row r="2275" s="29" customFormat="1" ht="13.35" customHeight="1"/>
    <row r="2276" s="29" customFormat="1" ht="13.35" customHeight="1"/>
    <row r="2277" s="29" customFormat="1" ht="13.35" customHeight="1"/>
    <row r="2278" s="29" customFormat="1" ht="13.35" customHeight="1"/>
    <row r="2279" s="29" customFormat="1" ht="13.35" customHeight="1"/>
    <row r="2280" s="29" customFormat="1" ht="13.35" customHeight="1"/>
    <row r="2281" s="29" customFormat="1" ht="13.35" customHeight="1"/>
    <row r="2282" s="29" customFormat="1" ht="13.35" customHeight="1"/>
    <row r="2283" s="29" customFormat="1" ht="13.35" customHeight="1"/>
    <row r="2284" s="29" customFormat="1" ht="13.35" customHeight="1"/>
    <row r="2285" s="29" customFormat="1" ht="13.35" customHeight="1"/>
    <row r="2286" s="29" customFormat="1" ht="13.35" customHeight="1"/>
    <row r="2287" s="29" customFormat="1" ht="13.35" customHeight="1"/>
    <row r="2288" s="29" customFormat="1" ht="13.35" customHeight="1"/>
    <row r="2289" s="29" customFormat="1" ht="13.35" customHeight="1"/>
    <row r="2290" s="29" customFormat="1" ht="13.35" customHeight="1"/>
    <row r="2291" s="29" customFormat="1" ht="13.35" customHeight="1"/>
    <row r="2292" s="29" customFormat="1" ht="13.35" customHeight="1"/>
    <row r="2293" s="29" customFormat="1" ht="13.35" customHeight="1"/>
    <row r="2294" s="29" customFormat="1" ht="13.35" customHeight="1"/>
    <row r="2295" s="29" customFormat="1" ht="13.35" customHeight="1"/>
    <row r="2296" s="29" customFormat="1" ht="13.35" customHeight="1"/>
    <row r="2297" s="29" customFormat="1" ht="13.35" customHeight="1"/>
    <row r="2298" s="29" customFormat="1" ht="13.35" customHeight="1"/>
    <row r="2299" s="29" customFormat="1" ht="13.35" customHeight="1"/>
    <row r="2300" s="29" customFormat="1" ht="13.35" customHeight="1"/>
    <row r="2301" s="29" customFormat="1" ht="13.35" customHeight="1"/>
    <row r="2302" s="29" customFormat="1" ht="13.35" customHeight="1"/>
    <row r="2303" s="29" customFormat="1" ht="13.35" customHeight="1"/>
    <row r="2304" s="29" customFormat="1" ht="13.35" customHeight="1"/>
    <row r="2305" s="29" customFormat="1" ht="13.35" customHeight="1"/>
    <row r="2306" s="29" customFormat="1" ht="13.35" customHeight="1"/>
    <row r="2307" s="29" customFormat="1" ht="13.35" customHeight="1"/>
    <row r="2308" s="29" customFormat="1" ht="13.35" customHeight="1"/>
    <row r="2309" s="29" customFormat="1" ht="13.35" customHeight="1"/>
    <row r="2310" s="29" customFormat="1" ht="13.35" customHeight="1"/>
    <row r="2311" s="29" customFormat="1" ht="13.35" customHeight="1"/>
    <row r="2312" s="29" customFormat="1" ht="13.35" customHeight="1"/>
    <row r="2313" s="29" customFormat="1" ht="13.35" customHeight="1"/>
    <row r="2314" s="29" customFormat="1" ht="13.35" customHeight="1"/>
    <row r="2315" s="29" customFormat="1" ht="13.35" customHeight="1"/>
    <row r="2316" s="29" customFormat="1" ht="13.35" customHeight="1"/>
    <row r="2317" s="29" customFormat="1" ht="13.35" customHeight="1"/>
    <row r="2318" s="29" customFormat="1" ht="13.35" customHeight="1"/>
    <row r="2319" s="29" customFormat="1" ht="13.35" customHeight="1"/>
    <row r="2320" s="29" customFormat="1" ht="13.35" customHeight="1"/>
    <row r="2321" s="29" customFormat="1" ht="13.35" customHeight="1"/>
    <row r="2322" s="29" customFormat="1" ht="13.35" customHeight="1"/>
    <row r="2323" s="29" customFormat="1" ht="13.35" customHeight="1"/>
    <row r="2324" s="29" customFormat="1" ht="13.35" customHeight="1"/>
    <row r="2325" s="29" customFormat="1" ht="13.35" customHeight="1"/>
    <row r="2326" s="29" customFormat="1" ht="13.35" customHeight="1"/>
    <row r="2327" s="29" customFormat="1" ht="13.35" customHeight="1"/>
    <row r="2328" s="29" customFormat="1" ht="13.35" customHeight="1"/>
    <row r="2329" s="29" customFormat="1" ht="13.35" customHeight="1"/>
    <row r="2330" s="29" customFormat="1" ht="13.35" customHeight="1"/>
    <row r="2331" s="29" customFormat="1" ht="13.35" customHeight="1"/>
    <row r="2332" s="29" customFormat="1" ht="13.35" customHeight="1"/>
    <row r="2333" s="29" customFormat="1" ht="13.35" customHeight="1"/>
    <row r="2334" s="29" customFormat="1" ht="13.35" customHeight="1"/>
    <row r="2335" s="29" customFormat="1" ht="13.35" customHeight="1"/>
    <row r="2336" s="29" customFormat="1" ht="13.35" customHeight="1"/>
    <row r="2337" s="29" customFormat="1" ht="13.35" customHeight="1"/>
    <row r="2338" s="29" customFormat="1" ht="13.35" customHeight="1"/>
    <row r="2339" s="29" customFormat="1" ht="13.35" customHeight="1"/>
    <row r="2340" s="29" customFormat="1" ht="13.35" customHeight="1"/>
    <row r="2341" s="29" customFormat="1" ht="13.35" customHeight="1"/>
    <row r="2342" s="29" customFormat="1" ht="13.35" customHeight="1"/>
    <row r="2343" s="29" customFormat="1" ht="13.35" customHeight="1"/>
    <row r="2344" s="29" customFormat="1" ht="13.35" customHeight="1"/>
    <row r="2345" s="29" customFormat="1" ht="13.35" customHeight="1"/>
    <row r="2346" s="29" customFormat="1" ht="13.35" customHeight="1"/>
    <row r="2347" s="29" customFormat="1" ht="13.35" customHeight="1"/>
    <row r="2348" s="29" customFormat="1" ht="13.35" customHeight="1"/>
    <row r="2349" s="29" customFormat="1" ht="13.35" customHeight="1"/>
    <row r="2350" s="29" customFormat="1" ht="13.35" customHeight="1"/>
    <row r="2351" s="29" customFormat="1" ht="13.35" customHeight="1"/>
    <row r="2352" s="29" customFormat="1" ht="13.35" customHeight="1"/>
    <row r="2353" s="29" customFormat="1" ht="13.35" customHeight="1"/>
    <row r="2354" s="29" customFormat="1" ht="13.35" customHeight="1"/>
    <row r="2355" s="29" customFormat="1" ht="13.35" customHeight="1"/>
    <row r="2356" s="29" customFormat="1" ht="13.35" customHeight="1"/>
    <row r="2357" s="29" customFormat="1" ht="13.35" customHeight="1"/>
    <row r="2358" s="29" customFormat="1" ht="13.35" customHeight="1"/>
    <row r="2359" s="29" customFormat="1" ht="13.35" customHeight="1"/>
    <row r="2360" s="29" customFormat="1" ht="13.35" customHeight="1"/>
    <row r="2361" s="29" customFormat="1" ht="13.35" customHeight="1"/>
    <row r="2362" s="29" customFormat="1" ht="13.35" customHeight="1"/>
    <row r="2363" s="29" customFormat="1" ht="13.35" customHeight="1"/>
    <row r="2364" s="29" customFormat="1" ht="13.35" customHeight="1"/>
    <row r="2365" s="29" customFormat="1" ht="13.35" customHeight="1"/>
    <row r="2366" s="29" customFormat="1" ht="13.35" customHeight="1"/>
    <row r="2367" s="29" customFormat="1" ht="13.35" customHeight="1"/>
    <row r="2368" s="29" customFormat="1" ht="13.35" customHeight="1"/>
    <row r="2369" s="29" customFormat="1" ht="13.35" customHeight="1"/>
    <row r="2370" s="29" customFormat="1" ht="13.35" customHeight="1"/>
    <row r="2371" s="29" customFormat="1" ht="13.35" customHeight="1"/>
    <row r="2372" s="29" customFormat="1" ht="13.35" customHeight="1"/>
    <row r="2373" s="29" customFormat="1" ht="13.35" customHeight="1"/>
    <row r="2374" s="29" customFormat="1" ht="13.35" customHeight="1"/>
    <row r="2375" s="29" customFormat="1" ht="13.35" customHeight="1"/>
    <row r="2376" s="29" customFormat="1" ht="13.35" customHeight="1"/>
    <row r="2377" s="29" customFormat="1" ht="13.35" customHeight="1"/>
    <row r="2378" s="29" customFormat="1" ht="13.35" customHeight="1"/>
    <row r="2379" s="29" customFormat="1" ht="13.35" customHeight="1"/>
    <row r="2380" s="29" customFormat="1" ht="13.35" customHeight="1"/>
    <row r="2381" s="29" customFormat="1" ht="13.35" customHeight="1"/>
    <row r="2382" s="29" customFormat="1" ht="13.35" customHeight="1"/>
    <row r="2383" s="29" customFormat="1" ht="13.35" customHeight="1"/>
    <row r="2384" s="29" customFormat="1" ht="13.35" customHeight="1"/>
    <row r="2385" s="29" customFormat="1" ht="13.35" customHeight="1"/>
    <row r="2386" s="29" customFormat="1" ht="13.35" customHeight="1"/>
    <row r="2387" s="29" customFormat="1" ht="13.35" customHeight="1"/>
    <row r="2388" s="29" customFormat="1" ht="13.35" customHeight="1"/>
    <row r="2389" s="29" customFormat="1" ht="13.35" customHeight="1"/>
    <row r="2390" s="29" customFormat="1" ht="13.35" customHeight="1"/>
    <row r="2391" s="29" customFormat="1" ht="13.35" customHeight="1"/>
    <row r="2392" s="29" customFormat="1" ht="13.35" customHeight="1"/>
    <row r="2393" s="29" customFormat="1" ht="13.35" customHeight="1"/>
    <row r="2394" s="29" customFormat="1" ht="13.35" customHeight="1"/>
    <row r="2395" s="29" customFormat="1" ht="13.35" customHeight="1"/>
    <row r="2396" s="29" customFormat="1" ht="13.35" customHeight="1"/>
    <row r="2397" s="29" customFormat="1" ht="13.35" customHeight="1"/>
    <row r="2398" s="29" customFormat="1" ht="13.35" customHeight="1"/>
    <row r="2399" s="29" customFormat="1" ht="13.35" customHeight="1"/>
    <row r="2400" s="29" customFormat="1" ht="13.35" customHeight="1"/>
    <row r="2401" s="29" customFormat="1" ht="13.35" customHeight="1"/>
    <row r="2402" s="29" customFormat="1" ht="13.35" customHeight="1"/>
    <row r="2403" s="29" customFormat="1" ht="13.35" customHeight="1"/>
    <row r="2404" s="29" customFormat="1" ht="13.35" customHeight="1"/>
    <row r="2405" s="29" customFormat="1" ht="13.35" customHeight="1"/>
    <row r="2406" s="29" customFormat="1" ht="13.35" customHeight="1"/>
    <row r="2407" s="29" customFormat="1" ht="13.35" customHeight="1"/>
    <row r="2408" s="29" customFormat="1" ht="13.35" customHeight="1"/>
    <row r="2409" s="29" customFormat="1" ht="13.35" customHeight="1"/>
    <row r="2410" s="29" customFormat="1" ht="13.35" customHeight="1"/>
    <row r="2411" s="29" customFormat="1" ht="13.35" customHeight="1"/>
    <row r="2412" s="29" customFormat="1" ht="13.35" customHeight="1"/>
    <row r="2413" s="29" customFormat="1" ht="13.35" customHeight="1"/>
    <row r="2414" s="29" customFormat="1" ht="13.35" customHeight="1"/>
    <row r="2415" s="29" customFormat="1" ht="13.35" customHeight="1"/>
    <row r="2416" s="29" customFormat="1" ht="13.35" customHeight="1"/>
    <row r="2417" s="29" customFormat="1" ht="13.35" customHeight="1"/>
    <row r="2418" s="29" customFormat="1" ht="13.35" customHeight="1"/>
    <row r="2419" s="29" customFormat="1" ht="13.35" customHeight="1"/>
    <row r="2420" s="29" customFormat="1" ht="13.35" customHeight="1"/>
    <row r="2421" s="29" customFormat="1" ht="13.35" customHeight="1"/>
    <row r="2422" s="29" customFormat="1" ht="13.35" customHeight="1"/>
    <row r="2423" s="29" customFormat="1" ht="13.35" customHeight="1"/>
    <row r="2424" s="29" customFormat="1" ht="13.35" customHeight="1"/>
    <row r="2425" s="29" customFormat="1" ht="13.35" customHeight="1"/>
    <row r="2426" s="29" customFormat="1" ht="13.35" customHeight="1"/>
    <row r="2427" s="29" customFormat="1" ht="13.35" customHeight="1"/>
    <row r="2428" s="29" customFormat="1" ht="13.35" customHeight="1"/>
    <row r="2429" s="29" customFormat="1" ht="13.35" customHeight="1"/>
    <row r="2430" s="29" customFormat="1" ht="13.35" customHeight="1"/>
    <row r="2431" s="29" customFormat="1" ht="13.35" customHeight="1"/>
    <row r="2432" s="29" customFormat="1" ht="13.35" customHeight="1"/>
    <row r="2433" s="29" customFormat="1" ht="13.35" customHeight="1"/>
    <row r="2434" s="29" customFormat="1" ht="13.35" customHeight="1"/>
    <row r="2435" s="29" customFormat="1" ht="13.35" customHeight="1"/>
    <row r="2436" s="29" customFormat="1" ht="13.35" customHeight="1"/>
    <row r="2437" s="29" customFormat="1" ht="13.35" customHeight="1"/>
    <row r="2438" s="29" customFormat="1" ht="13.35" customHeight="1"/>
    <row r="2439" s="29" customFormat="1" ht="13.35" customHeight="1"/>
    <row r="2440" s="29" customFormat="1" ht="13.35" customHeight="1"/>
    <row r="2441" s="29" customFormat="1" ht="13.35" customHeight="1"/>
    <row r="2442" s="29" customFormat="1" ht="13.35" customHeight="1"/>
    <row r="2443" s="29" customFormat="1" ht="13.35" customHeight="1"/>
    <row r="2444" s="29" customFormat="1" ht="13.35" customHeight="1"/>
    <row r="2445" s="29" customFormat="1" ht="13.35" customHeight="1"/>
    <row r="2446" s="29" customFormat="1" ht="13.35" customHeight="1"/>
    <row r="2447" s="29" customFormat="1" ht="13.35" customHeight="1"/>
    <row r="2448" s="29" customFormat="1" ht="13.35" customHeight="1"/>
    <row r="2449" s="29" customFormat="1" ht="13.35" customHeight="1"/>
    <row r="2450" s="29" customFormat="1" ht="13.35" customHeight="1"/>
    <row r="2451" s="29" customFormat="1" ht="13.35" customHeight="1"/>
    <row r="2452" s="29" customFormat="1" ht="13.35" customHeight="1"/>
    <row r="2453" s="29" customFormat="1" ht="13.35" customHeight="1"/>
    <row r="2454" s="29" customFormat="1" ht="13.35" customHeight="1"/>
    <row r="2455" s="29" customFormat="1" ht="13.35" customHeight="1"/>
    <row r="2456" s="29" customFormat="1" ht="13.35" customHeight="1"/>
    <row r="2457" s="29" customFormat="1" ht="13.35" customHeight="1"/>
    <row r="2458" s="29" customFormat="1" ht="13.35" customHeight="1"/>
    <row r="2459" s="29" customFormat="1" ht="13.35" customHeight="1"/>
    <row r="2460" s="29" customFormat="1" ht="13.35" customHeight="1"/>
    <row r="2461" s="29" customFormat="1" ht="13.35" customHeight="1"/>
    <row r="2462" s="29" customFormat="1" ht="13.35" customHeight="1"/>
    <row r="2463" s="29" customFormat="1" ht="13.35" customHeight="1"/>
    <row r="2464" s="29" customFormat="1" ht="13.35" customHeight="1"/>
    <row r="2465" s="29" customFormat="1" ht="13.35" customHeight="1"/>
    <row r="2466" s="29" customFormat="1" ht="13.35" customHeight="1"/>
    <row r="2467" s="29" customFormat="1" ht="13.35" customHeight="1"/>
    <row r="2468" s="29" customFormat="1" ht="13.35" customHeight="1"/>
    <row r="2469" s="29" customFormat="1" ht="13.35" customHeight="1"/>
    <row r="2470" s="29" customFormat="1" ht="13.35" customHeight="1"/>
    <row r="2471" s="29" customFormat="1" ht="13.35" customHeight="1"/>
    <row r="2472" s="29" customFormat="1" ht="13.35" customHeight="1"/>
    <row r="2473" s="29" customFormat="1" ht="13.35" customHeight="1"/>
    <row r="2474" s="29" customFormat="1" ht="13.35" customHeight="1"/>
    <row r="2475" s="29" customFormat="1" ht="13.35" customHeight="1"/>
    <row r="2476" s="29" customFormat="1" ht="13.35" customHeight="1"/>
    <row r="2477" s="29" customFormat="1" ht="13.35" customHeight="1"/>
    <row r="2478" s="29" customFormat="1" ht="13.35" customHeight="1"/>
    <row r="2479" s="29" customFormat="1" ht="13.35" customHeight="1"/>
    <row r="2480" s="29" customFormat="1" ht="13.35" customHeight="1"/>
    <row r="2481" s="29" customFormat="1" ht="13.35" customHeight="1"/>
    <row r="2482" s="29" customFormat="1" ht="13.35" customHeight="1"/>
    <row r="2483" s="29" customFormat="1" ht="13.35" customHeight="1"/>
    <row r="2484" s="29" customFormat="1" ht="13.35" customHeight="1"/>
    <row r="2485" s="29" customFormat="1" ht="13.35" customHeight="1"/>
    <row r="2486" s="29" customFormat="1" ht="13.35" customHeight="1"/>
    <row r="2487" s="29" customFormat="1" ht="13.35" customHeight="1"/>
    <row r="2488" s="29" customFormat="1" ht="13.35" customHeight="1"/>
    <row r="2489" s="29" customFormat="1" ht="13.35" customHeight="1"/>
    <row r="2490" s="29" customFormat="1" ht="13.35" customHeight="1"/>
    <row r="2491" s="29" customFormat="1" ht="13.35" customHeight="1"/>
    <row r="2492" s="29" customFormat="1" ht="13.35" customHeight="1"/>
    <row r="2493" s="29" customFormat="1" ht="13.35" customHeight="1"/>
    <row r="2494" s="29" customFormat="1" ht="13.35" customHeight="1"/>
    <row r="2495" s="29" customFormat="1" ht="13.35" customHeight="1"/>
    <row r="2496" s="29" customFormat="1" ht="13.35" customHeight="1"/>
    <row r="2497" s="29" customFormat="1" ht="13.35" customHeight="1"/>
    <row r="2498" s="29" customFormat="1" ht="13.35" customHeight="1"/>
    <row r="2499" s="29" customFormat="1" ht="13.35" customHeight="1"/>
    <row r="2500" s="29" customFormat="1" ht="13.35" customHeight="1"/>
    <row r="2501" s="29" customFormat="1" ht="13.35" customHeight="1"/>
    <row r="2502" s="29" customFormat="1" ht="13.35" customHeight="1"/>
    <row r="2503" s="29" customFormat="1" ht="13.35" customHeight="1"/>
    <row r="2504" s="29" customFormat="1" ht="13.35" customHeight="1"/>
    <row r="2505" s="29" customFormat="1" ht="13.35" customHeight="1"/>
    <row r="2506" s="29" customFormat="1" ht="13.35" customHeight="1"/>
    <row r="2507" s="29" customFormat="1" ht="13.35" customHeight="1"/>
    <row r="2508" s="29" customFormat="1" ht="13.35" customHeight="1"/>
    <row r="2509" s="29" customFormat="1" ht="13.35" customHeight="1"/>
    <row r="2510" s="29" customFormat="1" ht="13.35" customHeight="1"/>
    <row r="2511" s="29" customFormat="1" ht="13.35" customHeight="1"/>
    <row r="2512" s="29" customFormat="1" ht="13.35" customHeight="1"/>
    <row r="2513" s="29" customFormat="1" ht="13.35" customHeight="1"/>
    <row r="2514" s="29" customFormat="1" ht="13.35" customHeight="1"/>
    <row r="2515" s="29" customFormat="1" ht="13.35" customHeight="1"/>
    <row r="2516" s="29" customFormat="1" ht="13.35" customHeight="1"/>
    <row r="2517" s="29" customFormat="1" ht="13.35" customHeight="1"/>
    <row r="2518" s="29" customFormat="1" ht="13.35" customHeight="1"/>
    <row r="2519" s="29" customFormat="1" ht="13.35" customHeight="1"/>
    <row r="2520" s="29" customFormat="1" ht="13.35" customHeight="1"/>
    <row r="2521" s="29" customFormat="1" ht="13.35" customHeight="1"/>
    <row r="2522" s="29" customFormat="1" ht="13.35" customHeight="1"/>
    <row r="2523" s="29" customFormat="1" ht="13.35" customHeight="1"/>
    <row r="2524" s="29" customFormat="1" ht="13.35" customHeight="1"/>
    <row r="2525" s="29" customFormat="1" ht="13.35" customHeight="1"/>
    <row r="2526" s="29" customFormat="1" ht="13.35" customHeight="1"/>
    <row r="2527" s="29" customFormat="1" ht="13.35" customHeight="1"/>
    <row r="2528" s="29" customFormat="1" ht="13.35" customHeight="1"/>
    <row r="2529" s="29" customFormat="1" ht="13.35" customHeight="1"/>
    <row r="2530" s="29" customFormat="1" ht="13.35" customHeight="1"/>
    <row r="2531" s="29" customFormat="1" ht="13.35" customHeight="1"/>
    <row r="2532" s="29" customFormat="1" ht="13.35" customHeight="1"/>
    <row r="2533" s="29" customFormat="1" ht="13.35" customHeight="1"/>
    <row r="2534" s="29" customFormat="1" ht="13.35" customHeight="1"/>
    <row r="2535" s="29" customFormat="1" ht="13.35" customHeight="1"/>
    <row r="2536" s="29" customFormat="1" ht="13.35" customHeight="1"/>
    <row r="2537" s="29" customFormat="1" ht="13.35" customHeight="1"/>
    <row r="2538" s="29" customFormat="1" ht="13.35" customHeight="1"/>
    <row r="2539" s="29" customFormat="1" ht="13.35" customHeight="1"/>
    <row r="2540" s="29" customFormat="1" ht="13.35" customHeight="1"/>
    <row r="2541" s="29" customFormat="1" ht="13.35" customHeight="1"/>
    <row r="2542" s="29" customFormat="1" ht="13.35" customHeight="1"/>
    <row r="2543" s="29" customFormat="1" ht="13.35" customHeight="1"/>
    <row r="2544" s="29" customFormat="1" ht="13.35" customHeight="1"/>
    <row r="2545" s="29" customFormat="1" ht="13.35" customHeight="1"/>
    <row r="2546" s="29" customFormat="1" ht="13.35" customHeight="1"/>
    <row r="2547" s="29" customFormat="1" ht="13.35" customHeight="1"/>
    <row r="2548" s="29" customFormat="1" ht="13.35" customHeight="1"/>
    <row r="2549" s="29" customFormat="1" ht="13.35" customHeight="1"/>
    <row r="2550" s="29" customFormat="1" ht="13.35" customHeight="1"/>
    <row r="2551" s="29" customFormat="1" ht="13.35" customHeight="1"/>
    <row r="2552" s="29" customFormat="1" ht="13.35" customHeight="1"/>
    <row r="2553" s="29" customFormat="1" ht="13.35" customHeight="1"/>
    <row r="2554" s="29" customFormat="1" ht="13.35" customHeight="1"/>
    <row r="2555" s="29" customFormat="1" ht="13.35" customHeight="1"/>
    <row r="2556" s="29" customFormat="1" ht="13.35" customHeight="1"/>
    <row r="2557" s="29" customFormat="1" ht="13.35" customHeight="1"/>
    <row r="2558" s="29" customFormat="1" ht="13.35" customHeight="1"/>
    <row r="2559" s="29" customFormat="1" ht="13.35" customHeight="1"/>
    <row r="2560" s="29" customFormat="1" ht="13.35" customHeight="1"/>
    <row r="2561" s="29" customFormat="1" ht="13.35" customHeight="1"/>
    <row r="2562" s="29" customFormat="1" ht="13.35" customHeight="1"/>
    <row r="2563" s="29" customFormat="1" ht="13.35" customHeight="1"/>
    <row r="2564" s="29" customFormat="1" ht="13.35" customHeight="1"/>
    <row r="2565" s="29" customFormat="1" ht="13.35" customHeight="1"/>
    <row r="2566" s="29" customFormat="1" ht="13.35" customHeight="1"/>
    <row r="2567" s="29" customFormat="1" ht="13.35" customHeight="1"/>
    <row r="2568" s="29" customFormat="1" ht="13.35" customHeight="1"/>
    <row r="2569" s="29" customFormat="1" ht="13.35" customHeight="1"/>
    <row r="2570" s="29" customFormat="1" ht="13.35" customHeight="1"/>
    <row r="2571" s="29" customFormat="1" ht="13.35" customHeight="1"/>
    <row r="2572" s="29" customFormat="1" ht="13.35" customHeight="1"/>
    <row r="2573" s="29" customFormat="1" ht="13.35" customHeight="1"/>
    <row r="2574" s="29" customFormat="1" ht="13.35" customHeight="1"/>
    <row r="2575" s="29" customFormat="1" ht="13.35" customHeight="1"/>
    <row r="2576" s="29" customFormat="1" ht="13.35" customHeight="1"/>
    <row r="2577" s="29" customFormat="1" ht="13.35" customHeight="1"/>
    <row r="2578" s="29" customFormat="1" ht="13.35" customHeight="1"/>
    <row r="2579" s="29" customFormat="1" ht="13.35" customHeight="1"/>
    <row r="2580" s="29" customFormat="1" ht="13.35" customHeight="1"/>
    <row r="2581" s="29" customFormat="1" ht="13.35" customHeight="1"/>
    <row r="2582" s="29" customFormat="1" ht="13.35" customHeight="1"/>
    <row r="2583" s="29" customFormat="1" ht="13.35" customHeight="1"/>
    <row r="2584" s="29" customFormat="1" ht="13.35" customHeight="1"/>
    <row r="2585" s="29" customFormat="1" ht="13.35" customHeight="1"/>
    <row r="2586" s="29" customFormat="1" ht="13.35" customHeight="1"/>
    <row r="2587" s="29" customFormat="1" ht="13.35" customHeight="1"/>
    <row r="2588" s="29" customFormat="1" ht="13.35" customHeight="1"/>
    <row r="2589" s="29" customFormat="1" ht="13.35" customHeight="1"/>
    <row r="2590" s="29" customFormat="1" ht="13.35" customHeight="1"/>
    <row r="2591" s="29" customFormat="1" ht="13.35" customHeight="1"/>
    <row r="2592" s="29" customFormat="1" ht="13.35" customHeight="1"/>
    <row r="2593" s="29" customFormat="1" ht="13.35" customHeight="1"/>
    <row r="2594" s="29" customFormat="1" ht="13.35" customHeight="1"/>
    <row r="2595" s="29" customFormat="1" ht="13.35" customHeight="1"/>
    <row r="2596" s="29" customFormat="1" ht="13.35" customHeight="1"/>
    <row r="2597" s="29" customFormat="1" ht="13.35" customHeight="1"/>
    <row r="2598" s="29" customFormat="1" ht="13.35" customHeight="1"/>
    <row r="2599" s="29" customFormat="1" ht="13.35" customHeight="1"/>
    <row r="2600" s="29" customFormat="1" ht="13.35" customHeight="1"/>
    <row r="2601" s="29" customFormat="1" ht="13.35" customHeight="1"/>
    <row r="2602" s="29" customFormat="1" ht="13.35" customHeight="1"/>
    <row r="2603" s="29" customFormat="1" ht="13.35" customHeight="1"/>
    <row r="2604" s="29" customFormat="1" ht="13.35" customHeight="1"/>
    <row r="2605" s="29" customFormat="1" ht="13.35" customHeight="1"/>
    <row r="2606" s="29" customFormat="1" ht="13.35" customHeight="1"/>
    <row r="2607" s="29" customFormat="1" ht="13.35" customHeight="1"/>
    <row r="2608" s="29" customFormat="1" ht="13.35" customHeight="1"/>
    <row r="2609" s="29" customFormat="1" ht="13.35" customHeight="1"/>
    <row r="2610" s="29" customFormat="1" ht="13.35" customHeight="1"/>
    <row r="2611" s="29" customFormat="1" ht="13.35" customHeight="1"/>
    <row r="2612" s="29" customFormat="1" ht="13.35" customHeight="1"/>
    <row r="2613" s="29" customFormat="1" ht="13.35" customHeight="1"/>
    <row r="2614" s="29" customFormat="1" ht="13.35" customHeight="1"/>
    <row r="2615" s="29" customFormat="1" ht="13.35" customHeight="1"/>
    <row r="2616" s="29" customFormat="1" ht="13.35" customHeight="1"/>
    <row r="2617" s="29" customFormat="1" ht="13.35" customHeight="1"/>
    <row r="2618" s="29" customFormat="1" ht="13.35" customHeight="1"/>
    <row r="2619" s="29" customFormat="1" ht="13.35" customHeight="1"/>
    <row r="2620" s="29" customFormat="1" ht="13.35" customHeight="1"/>
    <row r="2621" s="29" customFormat="1" ht="13.35" customHeight="1"/>
    <row r="2622" s="29" customFormat="1" ht="13.35" customHeight="1"/>
    <row r="2623" s="29" customFormat="1" ht="13.35" customHeight="1"/>
    <row r="2624" s="29" customFormat="1" ht="13.35" customHeight="1"/>
    <row r="2625" s="29" customFormat="1" ht="13.35" customHeight="1"/>
    <row r="2626" s="29" customFormat="1" ht="13.35" customHeight="1"/>
    <row r="2627" s="29" customFormat="1" ht="13.35" customHeight="1"/>
    <row r="2628" s="29" customFormat="1" ht="13.35" customHeight="1"/>
    <row r="2629" s="29" customFormat="1" ht="13.35" customHeight="1"/>
    <row r="2630" s="29" customFormat="1" ht="13.35" customHeight="1"/>
    <row r="2631" s="29" customFormat="1" ht="13.35" customHeight="1"/>
    <row r="2632" s="29" customFormat="1" ht="13.35" customHeight="1"/>
    <row r="2633" s="29" customFormat="1" ht="13.35" customHeight="1"/>
    <row r="2634" s="29" customFormat="1" ht="13.35" customHeight="1"/>
    <row r="2635" s="29" customFormat="1" ht="13.35" customHeight="1"/>
    <row r="2636" s="29" customFormat="1" ht="13.35" customHeight="1"/>
    <row r="2637" s="29" customFormat="1" ht="13.35" customHeight="1"/>
    <row r="2638" s="29" customFormat="1" ht="13.35" customHeight="1"/>
    <row r="2639" s="29" customFormat="1" ht="13.35" customHeight="1"/>
    <row r="2640" s="29" customFormat="1" ht="13.35" customHeight="1"/>
    <row r="2641" s="29" customFormat="1" ht="13.35" customHeight="1"/>
    <row r="2642" s="29" customFormat="1" ht="13.35" customHeight="1"/>
    <row r="2643" s="29" customFormat="1" ht="13.35" customHeight="1"/>
    <row r="2644" s="29" customFormat="1" ht="13.35" customHeight="1"/>
    <row r="2645" s="29" customFormat="1" ht="13.35" customHeight="1"/>
    <row r="2646" s="29" customFormat="1" ht="13.35" customHeight="1"/>
    <row r="2647" s="29" customFormat="1" ht="13.35" customHeight="1"/>
    <row r="2648" s="29" customFormat="1" ht="13.35" customHeight="1"/>
    <row r="2649" s="29" customFormat="1" ht="13.35" customHeight="1"/>
    <row r="2650" s="29" customFormat="1" ht="13.35" customHeight="1"/>
    <row r="2651" s="29" customFormat="1" ht="13.35" customHeight="1"/>
    <row r="2652" s="29" customFormat="1" ht="13.35" customHeight="1"/>
    <row r="2653" s="29" customFormat="1" ht="13.35" customHeight="1"/>
    <row r="2654" s="29" customFormat="1" ht="13.35" customHeight="1"/>
    <row r="2655" s="29" customFormat="1" ht="13.35" customHeight="1"/>
    <row r="2656" s="29" customFormat="1" ht="13.35" customHeight="1"/>
    <row r="2657" s="29" customFormat="1" ht="13.35" customHeight="1"/>
    <row r="2658" s="29" customFormat="1" ht="13.35" customHeight="1"/>
    <row r="2659" s="29" customFormat="1" ht="13.35" customHeight="1"/>
    <row r="2660" s="29" customFormat="1" ht="13.35" customHeight="1"/>
    <row r="2661" s="29" customFormat="1" ht="13.35" customHeight="1"/>
    <row r="2662" s="29" customFormat="1" ht="13.35" customHeight="1"/>
    <row r="2663" s="29" customFormat="1" ht="13.35" customHeight="1"/>
    <row r="2664" s="29" customFormat="1" ht="13.35" customHeight="1"/>
    <row r="2665" s="29" customFormat="1" ht="13.35" customHeight="1"/>
    <row r="2666" s="29" customFormat="1" ht="13.35" customHeight="1"/>
    <row r="2667" s="29" customFormat="1" ht="13.35" customHeight="1"/>
    <row r="2668" s="29" customFormat="1" ht="13.35" customHeight="1"/>
    <row r="2669" s="29" customFormat="1" ht="13.35" customHeight="1"/>
    <row r="2670" s="29" customFormat="1" ht="13.35" customHeight="1"/>
    <row r="2671" s="29" customFormat="1" ht="13.35" customHeight="1"/>
    <row r="2672" s="29" customFormat="1" ht="13.35" customHeight="1"/>
    <row r="2673" s="29" customFormat="1" ht="13.35" customHeight="1"/>
    <row r="2674" s="29" customFormat="1" ht="13.35" customHeight="1"/>
    <row r="2675" s="29" customFormat="1" ht="13.35" customHeight="1"/>
    <row r="2676" s="29" customFormat="1" ht="13.35" customHeight="1"/>
    <row r="2677" s="29" customFormat="1" ht="13.35" customHeight="1"/>
    <row r="2678" s="29" customFormat="1" ht="13.35" customHeight="1"/>
    <row r="2679" s="29" customFormat="1" ht="13.35" customHeight="1"/>
    <row r="2680" s="29" customFormat="1" ht="13.35" customHeight="1"/>
    <row r="2681" s="29" customFormat="1" ht="13.35" customHeight="1"/>
    <row r="2682" s="29" customFormat="1" ht="13.35" customHeight="1"/>
    <row r="2683" s="29" customFormat="1" ht="13.35" customHeight="1"/>
    <row r="2684" s="29" customFormat="1" ht="13.35" customHeight="1"/>
    <row r="2685" s="29" customFormat="1" ht="13.35" customHeight="1"/>
    <row r="2686" s="29" customFormat="1" ht="13.35" customHeight="1"/>
    <row r="2687" s="29" customFormat="1" ht="13.35" customHeight="1"/>
    <row r="2688" s="29" customFormat="1" ht="13.35" customHeight="1"/>
    <row r="2689" s="29" customFormat="1" ht="13.35" customHeight="1"/>
    <row r="2690" s="29" customFormat="1" ht="13.35" customHeight="1"/>
    <row r="2691" s="29" customFormat="1" ht="13.35" customHeight="1"/>
    <row r="2692" s="29" customFormat="1" ht="13.35" customHeight="1"/>
    <row r="2693" s="29" customFormat="1" ht="13.35" customHeight="1"/>
    <row r="2694" s="29" customFormat="1" ht="13.35" customHeight="1"/>
    <row r="2695" s="29" customFormat="1" ht="13.35" customHeight="1"/>
    <row r="2696" s="29" customFormat="1" ht="13.35" customHeight="1"/>
    <row r="2697" s="29" customFormat="1" ht="13.35" customHeight="1"/>
    <row r="2698" s="29" customFormat="1" ht="13.35" customHeight="1"/>
    <row r="2699" s="29" customFormat="1" ht="13.35" customHeight="1"/>
    <row r="2700" s="29" customFormat="1" ht="13.35" customHeight="1"/>
    <row r="2701" s="29" customFormat="1" ht="13.35" customHeight="1"/>
    <row r="2702" s="29" customFormat="1" ht="13.35" customHeight="1"/>
    <row r="2703" s="29" customFormat="1" ht="13.35" customHeight="1"/>
    <row r="2704" s="29" customFormat="1" ht="13.35" customHeight="1"/>
    <row r="2705" s="29" customFormat="1" ht="13.35" customHeight="1"/>
    <row r="2706" s="29" customFormat="1" ht="13.35" customHeight="1"/>
    <row r="2707" s="29" customFormat="1" ht="13.35" customHeight="1"/>
    <row r="2708" s="29" customFormat="1" ht="13.35" customHeight="1"/>
    <row r="2709" s="29" customFormat="1" ht="13.35" customHeight="1"/>
    <row r="2710" s="29" customFormat="1" ht="13.35" customHeight="1"/>
    <row r="2711" s="29" customFormat="1" ht="13.35" customHeight="1"/>
    <row r="2712" s="29" customFormat="1" ht="13.35" customHeight="1"/>
    <row r="2713" s="29" customFormat="1" ht="13.35" customHeight="1"/>
    <row r="2714" s="29" customFormat="1" ht="13.35" customHeight="1"/>
    <row r="2715" s="29" customFormat="1" ht="13.35" customHeight="1"/>
    <row r="2716" s="29" customFormat="1" ht="13.35" customHeight="1"/>
    <row r="2717" s="29" customFormat="1" ht="13.35" customHeight="1"/>
    <row r="2718" s="29" customFormat="1" ht="13.35" customHeight="1"/>
    <row r="2719" s="29" customFormat="1" ht="13.35" customHeight="1"/>
    <row r="2720" s="29" customFormat="1" ht="13.35" customHeight="1"/>
    <row r="2721" s="29" customFormat="1" ht="13.35" customHeight="1"/>
    <row r="2722" s="29" customFormat="1" ht="13.35" customHeight="1"/>
    <row r="2723" s="29" customFormat="1" ht="13.35" customHeight="1"/>
    <row r="2724" s="29" customFormat="1" ht="13.35" customHeight="1"/>
    <row r="2725" s="29" customFormat="1" ht="13.35" customHeight="1"/>
    <row r="2726" s="29" customFormat="1" ht="13.35" customHeight="1"/>
    <row r="2727" s="29" customFormat="1" ht="13.35" customHeight="1"/>
    <row r="2728" s="29" customFormat="1" ht="13.35" customHeight="1"/>
    <row r="2729" s="29" customFormat="1" ht="13.35" customHeight="1"/>
    <row r="2730" s="29" customFormat="1" ht="13.35" customHeight="1"/>
    <row r="2731" s="29" customFormat="1" ht="13.35" customHeight="1"/>
    <row r="2732" s="29" customFormat="1" ht="13.35" customHeight="1"/>
    <row r="2733" s="29" customFormat="1" ht="13.35" customHeight="1"/>
    <row r="2734" s="29" customFormat="1" ht="13.35" customHeight="1"/>
    <row r="2735" s="29" customFormat="1" ht="13.35" customHeight="1"/>
    <row r="2736" s="29" customFormat="1" ht="13.35" customHeight="1"/>
    <row r="2737" s="29" customFormat="1" ht="13.35" customHeight="1"/>
    <row r="2738" s="29" customFormat="1" ht="13.35" customHeight="1"/>
    <row r="2739" s="29" customFormat="1" ht="13.35" customHeight="1"/>
    <row r="2740" s="29" customFormat="1" ht="13.35" customHeight="1"/>
    <row r="2741" s="29" customFormat="1" ht="13.35" customHeight="1"/>
    <row r="2742" s="29" customFormat="1" ht="13.35" customHeight="1"/>
    <row r="2743" s="29" customFormat="1" ht="13.35" customHeight="1"/>
    <row r="2744" s="29" customFormat="1" ht="13.35" customHeight="1"/>
    <row r="2745" s="29" customFormat="1" ht="13.35" customHeight="1"/>
    <row r="2746" s="29" customFormat="1" ht="13.35" customHeight="1"/>
    <row r="2747" s="29" customFormat="1" ht="13.35" customHeight="1"/>
    <row r="2748" s="29" customFormat="1" ht="13.35" customHeight="1"/>
    <row r="2749" s="29" customFormat="1" ht="13.35" customHeight="1"/>
    <row r="2750" s="29" customFormat="1" ht="13.35" customHeight="1"/>
    <row r="2751" s="29" customFormat="1" ht="13.35" customHeight="1"/>
    <row r="2752" s="29" customFormat="1" ht="13.35" customHeight="1"/>
    <row r="2753" s="29" customFormat="1" ht="13.35" customHeight="1"/>
    <row r="2754" s="29" customFormat="1" ht="13.35" customHeight="1"/>
    <row r="2755" s="29" customFormat="1" ht="13.35" customHeight="1"/>
    <row r="2756" s="29" customFormat="1" ht="13.35" customHeight="1"/>
    <row r="2757" s="29" customFormat="1" ht="13.35" customHeight="1"/>
    <row r="2758" s="29" customFormat="1" ht="13.35" customHeight="1"/>
    <row r="2759" s="29" customFormat="1" ht="13.35" customHeight="1"/>
    <row r="2760" s="29" customFormat="1" ht="13.35" customHeight="1"/>
    <row r="2761" s="29" customFormat="1" ht="13.35" customHeight="1"/>
    <row r="2762" s="29" customFormat="1" ht="13.35" customHeight="1"/>
    <row r="2763" s="29" customFormat="1" ht="13.35" customHeight="1"/>
    <row r="2764" s="29" customFormat="1" ht="13.35" customHeight="1"/>
    <row r="2765" s="29" customFormat="1" ht="13.35" customHeight="1"/>
    <row r="2766" s="29" customFormat="1" ht="13.35" customHeight="1"/>
    <row r="2767" s="29" customFormat="1" ht="13.35" customHeight="1"/>
    <row r="2768" s="29" customFormat="1" ht="13.35" customHeight="1"/>
    <row r="2769" s="29" customFormat="1" ht="13.35" customHeight="1"/>
    <row r="2770" s="29" customFormat="1" ht="13.35" customHeight="1"/>
    <row r="2771" s="29" customFormat="1" ht="13.35" customHeight="1"/>
    <row r="2772" s="29" customFormat="1" ht="13.35" customHeight="1"/>
    <row r="2773" s="29" customFormat="1" ht="13.35" customHeight="1"/>
    <row r="2774" s="29" customFormat="1" ht="13.35" customHeight="1"/>
    <row r="2775" s="29" customFormat="1" ht="13.35" customHeight="1"/>
    <row r="2776" s="29" customFormat="1" ht="13.35" customHeight="1"/>
    <row r="2777" s="29" customFormat="1" ht="13.35" customHeight="1"/>
    <row r="2778" s="29" customFormat="1" ht="13.35" customHeight="1"/>
    <row r="2779" s="29" customFormat="1" ht="13.35" customHeight="1"/>
    <row r="2780" s="29" customFormat="1" ht="13.35" customHeight="1"/>
    <row r="2781" s="29" customFormat="1" ht="13.35" customHeight="1"/>
    <row r="2782" s="29" customFormat="1" ht="13.35" customHeight="1"/>
    <row r="2783" s="29" customFormat="1" ht="13.35" customHeight="1"/>
    <row r="2784" s="29" customFormat="1" ht="13.35" customHeight="1"/>
    <row r="2785" s="29" customFormat="1" ht="13.35" customHeight="1"/>
    <row r="2786" s="29" customFormat="1" ht="13.35" customHeight="1"/>
    <row r="2787" s="29" customFormat="1" ht="13.35" customHeight="1"/>
    <row r="2788" s="29" customFormat="1" ht="13.35" customHeight="1"/>
    <row r="2789" s="29" customFormat="1" ht="13.35" customHeight="1"/>
    <row r="2790" s="29" customFormat="1" ht="13.35" customHeight="1"/>
    <row r="2791" s="29" customFormat="1" ht="13.35" customHeight="1"/>
    <row r="2792" s="29" customFormat="1" ht="13.35" customHeight="1"/>
    <row r="2793" s="29" customFormat="1" ht="13.35" customHeight="1"/>
    <row r="2794" s="29" customFormat="1" ht="13.35" customHeight="1"/>
    <row r="2795" s="29" customFormat="1" ht="13.35" customHeight="1"/>
    <row r="2796" s="29" customFormat="1" ht="13.35" customHeight="1"/>
    <row r="2797" s="29" customFormat="1" ht="13.35" customHeight="1"/>
    <row r="2798" s="29" customFormat="1" ht="13.35" customHeight="1"/>
    <row r="2799" s="29" customFormat="1" ht="13.35" customHeight="1"/>
    <row r="2800" s="29" customFormat="1" ht="13.35" customHeight="1"/>
    <row r="2801" s="29" customFormat="1" ht="13.35" customHeight="1"/>
    <row r="2802" s="29" customFormat="1" ht="13.35" customHeight="1"/>
    <row r="2803" s="29" customFormat="1" ht="13.35" customHeight="1"/>
    <row r="2804" s="29" customFormat="1" ht="13.35" customHeight="1"/>
    <row r="2805" s="29" customFormat="1" ht="13.35" customHeight="1"/>
    <row r="2806" s="29" customFormat="1" ht="13.35" customHeight="1"/>
    <row r="2807" s="29" customFormat="1" ht="13.35" customHeight="1"/>
    <row r="2808" s="29" customFormat="1" ht="13.35" customHeight="1"/>
    <row r="2809" s="29" customFormat="1" ht="13.35" customHeight="1"/>
    <row r="2810" s="29" customFormat="1" ht="13.35" customHeight="1"/>
    <row r="2811" s="29" customFormat="1" ht="13.35" customHeight="1"/>
    <row r="2812" s="29" customFormat="1" ht="13.35" customHeight="1"/>
    <row r="2813" s="29" customFormat="1" ht="13.35" customHeight="1"/>
    <row r="2814" s="29" customFormat="1" ht="13.35" customHeight="1"/>
    <row r="2815" s="29" customFormat="1" ht="13.35" customHeight="1"/>
    <row r="2816" s="29" customFormat="1" ht="13.35" customHeight="1"/>
    <row r="2817" s="29" customFormat="1" ht="13.35" customHeight="1"/>
    <row r="2818" s="29" customFormat="1" ht="13.35" customHeight="1"/>
    <row r="2819" s="29" customFormat="1" ht="13.35" customHeight="1"/>
    <row r="2820" s="29" customFormat="1" ht="13.35" customHeight="1"/>
    <row r="2821" s="29" customFormat="1" ht="13.35" customHeight="1"/>
    <row r="2822" s="29" customFormat="1" ht="13.35" customHeight="1"/>
    <row r="2823" s="29" customFormat="1" ht="13.35" customHeight="1"/>
    <row r="2824" s="29" customFormat="1" ht="13.35" customHeight="1"/>
    <row r="2825" s="29" customFormat="1" ht="13.35" customHeight="1"/>
    <row r="2826" s="29" customFormat="1" ht="13.35" customHeight="1"/>
    <row r="2827" s="29" customFormat="1" ht="13.35" customHeight="1"/>
    <row r="2828" s="29" customFormat="1" ht="13.35" customHeight="1"/>
    <row r="2829" s="29" customFormat="1" ht="13.35" customHeight="1"/>
    <row r="2830" s="29" customFormat="1" ht="13.35" customHeight="1"/>
    <row r="2831" s="29" customFormat="1" ht="13.35" customHeight="1"/>
    <row r="2832" s="29" customFormat="1" ht="13.35" customHeight="1"/>
    <row r="2833" s="29" customFormat="1" ht="13.35" customHeight="1"/>
    <row r="2834" s="29" customFormat="1" ht="13.35" customHeight="1"/>
    <row r="2835" s="29" customFormat="1" ht="13.35" customHeight="1"/>
    <row r="2836" s="29" customFormat="1" ht="13.35" customHeight="1"/>
    <row r="2837" s="29" customFormat="1" ht="13.35" customHeight="1"/>
    <row r="2838" s="29" customFormat="1" ht="13.35" customHeight="1"/>
    <row r="2839" s="29" customFormat="1" ht="13.35" customHeight="1"/>
    <row r="2840" s="29" customFormat="1" ht="13.35" customHeight="1"/>
    <row r="2841" s="29" customFormat="1" ht="13.35" customHeight="1"/>
    <row r="2842" s="29" customFormat="1" ht="13.35" customHeight="1"/>
    <row r="2843" s="29" customFormat="1" ht="13.35" customHeight="1"/>
    <row r="2844" s="29" customFormat="1" ht="13.35" customHeight="1"/>
    <row r="2845" s="29" customFormat="1" ht="13.35" customHeight="1"/>
    <row r="2846" s="29" customFormat="1" ht="13.35" customHeight="1"/>
    <row r="2847" s="29" customFormat="1" ht="13.35" customHeight="1"/>
    <row r="2848" s="29" customFormat="1" ht="13.35" customHeight="1"/>
    <row r="2849" s="29" customFormat="1" ht="13.35" customHeight="1"/>
    <row r="2850" s="29" customFormat="1" ht="13.35" customHeight="1"/>
    <row r="2851" s="29" customFormat="1" ht="13.35" customHeight="1"/>
    <row r="2852" s="29" customFormat="1" ht="13.35" customHeight="1"/>
    <row r="2853" s="29" customFormat="1" ht="13.35" customHeight="1"/>
    <row r="2854" s="29" customFormat="1" ht="13.35" customHeight="1"/>
    <row r="2855" s="29" customFormat="1" ht="13.35" customHeight="1"/>
    <row r="2856" s="29" customFormat="1" ht="13.35" customHeight="1"/>
    <row r="2857" s="29" customFormat="1" ht="13.35" customHeight="1"/>
    <row r="2858" s="29" customFormat="1" ht="13.35" customHeight="1"/>
    <row r="2859" s="29" customFormat="1" ht="13.35" customHeight="1"/>
    <row r="2860" s="29" customFormat="1" ht="13.35" customHeight="1"/>
    <row r="2861" s="29" customFormat="1" ht="13.35" customHeight="1"/>
    <row r="2862" s="29" customFormat="1" ht="13.35" customHeight="1"/>
    <row r="2863" s="29" customFormat="1" ht="13.35" customHeight="1"/>
    <row r="2864" s="29" customFormat="1" ht="13.35" customHeight="1"/>
    <row r="2865" s="29" customFormat="1" ht="13.35" customHeight="1"/>
    <row r="2866" s="29" customFormat="1" ht="13.35" customHeight="1"/>
    <row r="2867" s="29" customFormat="1" ht="13.35" customHeight="1"/>
    <row r="2868" s="29" customFormat="1" ht="13.35" customHeight="1"/>
    <row r="2869" s="29" customFormat="1" ht="13.35" customHeight="1"/>
    <row r="2870" s="29" customFormat="1" ht="13.35" customHeight="1"/>
    <row r="2871" s="29" customFormat="1" ht="13.35" customHeight="1"/>
    <row r="2872" s="29" customFormat="1" ht="13.35" customHeight="1"/>
    <row r="2873" s="29" customFormat="1" ht="13.35" customHeight="1"/>
    <row r="2874" s="29" customFormat="1" ht="13.35" customHeight="1"/>
    <row r="2875" s="29" customFormat="1" ht="13.35" customHeight="1"/>
    <row r="2876" s="29" customFormat="1" ht="13.35" customHeight="1"/>
    <row r="2877" s="29" customFormat="1" ht="13.35" customHeight="1"/>
    <row r="2878" s="29" customFormat="1" ht="13.35" customHeight="1"/>
    <row r="2879" s="29" customFormat="1" ht="13.35" customHeight="1"/>
    <row r="2880" s="29" customFormat="1" ht="13.35" customHeight="1"/>
    <row r="2881" s="29" customFormat="1" ht="13.35" customHeight="1"/>
    <row r="2882" s="29" customFormat="1" ht="13.35" customHeight="1"/>
    <row r="2883" s="29" customFormat="1" ht="13.35" customHeight="1"/>
    <row r="2884" s="29" customFormat="1" ht="13.35" customHeight="1"/>
    <row r="2885" s="29" customFormat="1" ht="13.35" customHeight="1"/>
    <row r="2886" s="29" customFormat="1" ht="13.35" customHeight="1"/>
    <row r="2887" s="29" customFormat="1" ht="13.35" customHeight="1"/>
    <row r="2888" s="29" customFormat="1" ht="13.35" customHeight="1"/>
    <row r="2889" s="29" customFormat="1" ht="13.35" customHeight="1"/>
    <row r="2890" s="29" customFormat="1" ht="13.35" customHeight="1"/>
    <row r="2891" s="29" customFormat="1" ht="13.35" customHeight="1"/>
    <row r="2892" s="29" customFormat="1" ht="13.35" customHeight="1"/>
    <row r="2893" s="29" customFormat="1" ht="13.35" customHeight="1"/>
    <row r="2894" s="29" customFormat="1" ht="13.35" customHeight="1"/>
    <row r="2895" s="29" customFormat="1" ht="13.35" customHeight="1"/>
    <row r="2896" s="29" customFormat="1" ht="13.35" customHeight="1"/>
    <row r="2897" s="29" customFormat="1" ht="13.35" customHeight="1"/>
    <row r="2898" s="29" customFormat="1" ht="13.35" customHeight="1"/>
    <row r="2899" s="29" customFormat="1" ht="13.35" customHeight="1"/>
    <row r="2900" s="29" customFormat="1" ht="13.35" customHeight="1"/>
    <row r="2901" s="29" customFormat="1" ht="13.35" customHeight="1"/>
    <row r="2902" s="29" customFormat="1" ht="13.35" customHeight="1"/>
    <row r="2903" s="29" customFormat="1" ht="13.35" customHeight="1"/>
    <row r="2904" s="29" customFormat="1" ht="13.35" customHeight="1"/>
    <row r="2905" s="29" customFormat="1" ht="13.35" customHeight="1"/>
    <row r="2906" s="29" customFormat="1" ht="13.35" customHeight="1"/>
    <row r="2907" s="29" customFormat="1" ht="13.35" customHeight="1"/>
    <row r="2908" s="29" customFormat="1" ht="13.35" customHeight="1"/>
    <row r="2909" s="29" customFormat="1" ht="13.35" customHeight="1"/>
    <row r="2910" s="29" customFormat="1" ht="13.35" customHeight="1"/>
    <row r="2911" s="29" customFormat="1" ht="13.35" customHeight="1"/>
    <row r="2912" s="29" customFormat="1" ht="13.35" customHeight="1"/>
    <row r="2913" s="29" customFormat="1" ht="13.35" customHeight="1"/>
    <row r="2914" s="29" customFormat="1" ht="13.35" customHeight="1"/>
    <row r="2915" s="29" customFormat="1" ht="13.35" customHeight="1"/>
    <row r="2916" s="29" customFormat="1" ht="13.35" customHeight="1"/>
    <row r="2917" s="29" customFormat="1" ht="13.35" customHeight="1"/>
    <row r="2918" s="29" customFormat="1" ht="13.35" customHeight="1"/>
    <row r="2919" s="29" customFormat="1" ht="13.35" customHeight="1"/>
    <row r="2920" s="29" customFormat="1" ht="13.35" customHeight="1"/>
    <row r="2921" s="29" customFormat="1" ht="13.35" customHeight="1"/>
    <row r="2922" s="29" customFormat="1" ht="13.35" customHeight="1"/>
    <row r="2923" s="29" customFormat="1" ht="13.35" customHeight="1"/>
    <row r="2924" s="29" customFormat="1" ht="13.35" customHeight="1"/>
    <row r="2925" s="29" customFormat="1" ht="13.35" customHeight="1"/>
    <row r="2926" s="29" customFormat="1" ht="13.35" customHeight="1"/>
    <row r="2927" s="29" customFormat="1" ht="13.35" customHeight="1"/>
    <row r="2928" s="29" customFormat="1" ht="13.35" customHeight="1"/>
    <row r="2929" s="29" customFormat="1" ht="13.35" customHeight="1"/>
    <row r="2930" s="29" customFormat="1" ht="13.35" customHeight="1"/>
    <row r="2931" s="29" customFormat="1" ht="13.35" customHeight="1"/>
    <row r="2932" s="29" customFormat="1" ht="13.35" customHeight="1"/>
    <row r="2933" s="29" customFormat="1" ht="13.35" customHeight="1"/>
    <row r="2934" s="29" customFormat="1" ht="13.35" customHeight="1"/>
    <row r="2935" s="29" customFormat="1" ht="13.35" customHeight="1"/>
    <row r="2936" s="29" customFormat="1" ht="13.35" customHeight="1"/>
    <row r="2937" s="29" customFormat="1" ht="13.35" customHeight="1"/>
    <row r="2938" s="29" customFormat="1" ht="13.35" customHeight="1"/>
    <row r="2939" s="29" customFormat="1" ht="13.35" customHeight="1"/>
    <row r="2940" s="29" customFormat="1" ht="13.35" customHeight="1"/>
    <row r="2941" s="29" customFormat="1" ht="13.35" customHeight="1"/>
    <row r="2942" s="29" customFormat="1" ht="13.35" customHeight="1"/>
    <row r="2943" s="29" customFormat="1" ht="13.35" customHeight="1"/>
    <row r="2944" s="29" customFormat="1" ht="13.35" customHeight="1"/>
    <row r="2945" s="29" customFormat="1" ht="13.35" customHeight="1"/>
    <row r="2946" s="29" customFormat="1" ht="13.35" customHeight="1"/>
    <row r="2947" s="29" customFormat="1" ht="13.35" customHeight="1"/>
    <row r="2948" s="29" customFormat="1" ht="13.35" customHeight="1"/>
    <row r="2949" s="29" customFormat="1" ht="13.35" customHeight="1"/>
    <row r="2950" s="29" customFormat="1" ht="13.35" customHeight="1"/>
    <row r="2951" s="29" customFormat="1" ht="13.35" customHeight="1"/>
    <row r="2952" s="29" customFormat="1" ht="13.35" customHeight="1"/>
    <row r="2953" s="29" customFormat="1" ht="13.35" customHeight="1"/>
    <row r="2954" s="29" customFormat="1" ht="13.35" customHeight="1"/>
    <row r="2955" s="29" customFormat="1" ht="13.35" customHeight="1"/>
    <row r="2956" s="29" customFormat="1" ht="13.35" customHeight="1"/>
    <row r="2957" s="29" customFormat="1" ht="13.35" customHeight="1"/>
    <row r="2958" s="29" customFormat="1" ht="13.35" customHeight="1"/>
    <row r="2959" s="29" customFormat="1" ht="13.35" customHeight="1"/>
    <row r="2960" s="29" customFormat="1" ht="13.35" customHeight="1"/>
    <row r="2961" s="29" customFormat="1" ht="13.35" customHeight="1"/>
    <row r="2962" s="29" customFormat="1" ht="13.35" customHeight="1"/>
    <row r="2963" s="29" customFormat="1" ht="13.35" customHeight="1"/>
    <row r="2964" s="29" customFormat="1" ht="13.35" customHeight="1"/>
    <row r="2965" s="29" customFormat="1" ht="13.35" customHeight="1"/>
    <row r="2966" s="29" customFormat="1" ht="13.35" customHeight="1"/>
    <row r="2967" s="29" customFormat="1" ht="13.35" customHeight="1"/>
    <row r="2968" s="29" customFormat="1" ht="13.35" customHeight="1"/>
    <row r="2969" s="29" customFormat="1" ht="13.35" customHeight="1"/>
    <row r="2970" s="29" customFormat="1" ht="13.35" customHeight="1"/>
    <row r="2971" s="29" customFormat="1" ht="13.35" customHeight="1"/>
    <row r="2972" s="29" customFormat="1" ht="13.35" customHeight="1"/>
    <row r="2973" s="29" customFormat="1" ht="13.35" customHeight="1"/>
    <row r="2974" s="29" customFormat="1" ht="13.35" customHeight="1"/>
    <row r="2975" s="29" customFormat="1" ht="13.35" customHeight="1"/>
    <row r="2976" s="29" customFormat="1" ht="13.35" customHeight="1"/>
    <row r="2977" s="29" customFormat="1" ht="13.35" customHeight="1"/>
    <row r="2978" s="29" customFormat="1" ht="13.35" customHeight="1"/>
    <row r="2979" s="29" customFormat="1" ht="13.35" customHeight="1"/>
    <row r="2980" s="29" customFormat="1" ht="13.35" customHeight="1"/>
    <row r="2981" s="29" customFormat="1" ht="13.35" customHeight="1"/>
    <row r="2982" s="29" customFormat="1" ht="13.35" customHeight="1"/>
    <row r="2983" s="29" customFormat="1" ht="13.35" customHeight="1"/>
    <row r="2984" s="29" customFormat="1" ht="13.35" customHeight="1"/>
    <row r="2985" s="29" customFormat="1" ht="13.35" customHeight="1"/>
    <row r="2986" s="29" customFormat="1" ht="13.35" customHeight="1"/>
    <row r="2987" s="29" customFormat="1" ht="13.35" customHeight="1"/>
    <row r="2988" s="29" customFormat="1" ht="13.35" customHeight="1"/>
    <row r="2989" s="29" customFormat="1" ht="13.35" customHeight="1"/>
    <row r="2990" s="29" customFormat="1" ht="13.35" customHeight="1"/>
    <row r="2991" s="29" customFormat="1" ht="13.35" customHeight="1"/>
    <row r="2992" s="29" customFormat="1" ht="13.35" customHeight="1"/>
    <row r="2993" s="29" customFormat="1" ht="13.35" customHeight="1"/>
    <row r="2994" s="29" customFormat="1" ht="13.35" customHeight="1"/>
    <row r="2995" s="29" customFormat="1" ht="13.35" customHeight="1"/>
    <row r="2996" s="29" customFormat="1" ht="13.35" customHeight="1"/>
    <row r="2997" s="29" customFormat="1" ht="13.35" customHeight="1"/>
    <row r="2998" s="29" customFormat="1" ht="13.35" customHeight="1"/>
    <row r="2999" s="29" customFormat="1" ht="13.35" customHeight="1"/>
    <row r="3000" s="29" customFormat="1" ht="13.35" customHeight="1"/>
    <row r="3001" s="29" customFormat="1" ht="13.35" customHeight="1"/>
    <row r="3002" s="29" customFormat="1" ht="13.35" customHeight="1"/>
    <row r="3003" s="29" customFormat="1" ht="13.35" customHeight="1"/>
    <row r="3004" s="29" customFormat="1" ht="13.35" customHeight="1"/>
    <row r="3005" s="29" customFormat="1" ht="13.35" customHeight="1"/>
    <row r="3006" s="29" customFormat="1" ht="13.35" customHeight="1"/>
    <row r="3007" s="29" customFormat="1" ht="13.35" customHeight="1"/>
    <row r="3008" s="29" customFormat="1" ht="13.35" customHeight="1"/>
    <row r="3009" s="29" customFormat="1" ht="13.35" customHeight="1"/>
    <row r="3010" s="29" customFormat="1" ht="13.35" customHeight="1"/>
    <row r="3011" s="29" customFormat="1" ht="13.35" customHeight="1"/>
    <row r="3012" s="29" customFormat="1" ht="13.35" customHeight="1"/>
    <row r="3013" s="29" customFormat="1" ht="13.35" customHeight="1"/>
    <row r="3014" s="29" customFormat="1" ht="13.35" customHeight="1"/>
    <row r="3015" s="29" customFormat="1" ht="13.35" customHeight="1"/>
    <row r="3016" s="29" customFormat="1" ht="13.35" customHeight="1"/>
    <row r="3017" s="29" customFormat="1" ht="13.35" customHeight="1"/>
    <row r="3018" s="29" customFormat="1" ht="13.35" customHeight="1"/>
    <row r="3019" s="29" customFormat="1" ht="13.35" customHeight="1"/>
    <row r="3020" s="29" customFormat="1" ht="13.35" customHeight="1"/>
    <row r="3021" s="29" customFormat="1" ht="13.35" customHeight="1"/>
    <row r="3022" s="29" customFormat="1" ht="13.35" customHeight="1"/>
    <row r="3023" s="29" customFormat="1" ht="13.35" customHeight="1"/>
    <row r="3024" s="29" customFormat="1" ht="13.35" customHeight="1"/>
    <row r="3025" s="29" customFormat="1" ht="13.35" customHeight="1"/>
    <row r="3026" s="29" customFormat="1" ht="13.35" customHeight="1"/>
    <row r="3027" s="29" customFormat="1" ht="13.35" customHeight="1"/>
    <row r="3028" s="29" customFormat="1" ht="13.35" customHeight="1"/>
    <row r="3029" s="29" customFormat="1" ht="13.35" customHeight="1"/>
    <row r="3030" s="29" customFormat="1" ht="13.35" customHeight="1"/>
    <row r="3031" s="29" customFormat="1" ht="13.35" customHeight="1"/>
    <row r="3032" s="29" customFormat="1" ht="13.35" customHeight="1"/>
    <row r="3033" s="29" customFormat="1" ht="13.35" customHeight="1"/>
    <row r="3034" s="29" customFormat="1" ht="13.35" customHeight="1"/>
    <row r="3035" s="29" customFormat="1" ht="13.35" customHeight="1"/>
    <row r="3036" s="29" customFormat="1" ht="13.35" customHeight="1"/>
    <row r="3037" s="29" customFormat="1" ht="13.35" customHeight="1"/>
    <row r="3038" s="29" customFormat="1" ht="13.35" customHeight="1"/>
    <row r="3039" s="29" customFormat="1" ht="13.35" customHeight="1"/>
    <row r="3040" s="29" customFormat="1" ht="13.35" customHeight="1"/>
    <row r="3041" s="29" customFormat="1" ht="13.35" customHeight="1"/>
    <row r="3042" s="29" customFormat="1" ht="13.35" customHeight="1"/>
    <row r="3043" s="29" customFormat="1" ht="13.35" customHeight="1"/>
    <row r="3044" s="29" customFormat="1" ht="13.35" customHeight="1"/>
    <row r="3045" s="29" customFormat="1" ht="13.35" customHeight="1"/>
    <row r="3046" s="29" customFormat="1" ht="13.35" customHeight="1"/>
    <row r="3047" s="29" customFormat="1" ht="13.35" customHeight="1"/>
    <row r="3048" s="29" customFormat="1" ht="13.35" customHeight="1"/>
    <row r="3049" s="29" customFormat="1" ht="13.35" customHeight="1"/>
    <row r="3050" s="29" customFormat="1" ht="13.35" customHeight="1"/>
    <row r="3051" s="29" customFormat="1" ht="13.35" customHeight="1"/>
    <row r="3052" s="29" customFormat="1" ht="13.35" customHeight="1"/>
    <row r="3053" s="29" customFormat="1" ht="13.35" customHeight="1"/>
    <row r="3054" s="29" customFormat="1" ht="13.35" customHeight="1"/>
    <row r="3055" s="29" customFormat="1" ht="13.35" customHeight="1"/>
    <row r="3056" s="29" customFormat="1" ht="13.35" customHeight="1"/>
    <row r="3057" s="29" customFormat="1" ht="13.35" customHeight="1"/>
    <row r="3058" s="29" customFormat="1" ht="13.35" customHeight="1"/>
    <row r="3059" s="29" customFormat="1" ht="13.35" customHeight="1"/>
    <row r="3060" s="29" customFormat="1" ht="13.35" customHeight="1"/>
    <row r="3061" s="29" customFormat="1" ht="13.35" customHeight="1"/>
    <row r="3062" s="29" customFormat="1" ht="13.35" customHeight="1"/>
    <row r="3063" s="29" customFormat="1" ht="13.35" customHeight="1"/>
    <row r="3064" s="29" customFormat="1" ht="13.35" customHeight="1"/>
    <row r="3065" s="29" customFormat="1" ht="13.35" customHeight="1"/>
    <row r="3066" s="29" customFormat="1" ht="13.35" customHeight="1"/>
    <row r="3067" s="29" customFormat="1" ht="13.35" customHeight="1"/>
    <row r="3068" s="29" customFormat="1" ht="13.35" customHeight="1"/>
    <row r="3069" s="29" customFormat="1" ht="13.35" customHeight="1"/>
    <row r="3070" s="29" customFormat="1" ht="13.35" customHeight="1"/>
    <row r="3071" s="29" customFormat="1" ht="13.35" customHeight="1"/>
    <row r="3072" s="29" customFormat="1" ht="13.35" customHeight="1"/>
    <row r="3073" s="29" customFormat="1" ht="13.35" customHeight="1"/>
    <row r="3074" s="29" customFormat="1" ht="13.35" customHeight="1"/>
    <row r="3075" s="29" customFormat="1" ht="13.35" customHeight="1"/>
    <row r="3076" s="29" customFormat="1" ht="13.35" customHeight="1"/>
    <row r="3077" s="29" customFormat="1" ht="13.35" customHeight="1"/>
    <row r="3078" s="29" customFormat="1" ht="13.35" customHeight="1"/>
    <row r="3079" s="29" customFormat="1" ht="13.35" customHeight="1"/>
    <row r="3080" s="29" customFormat="1" ht="13.35" customHeight="1"/>
    <row r="3081" s="29" customFormat="1" ht="13.35" customHeight="1"/>
    <row r="3082" s="29" customFormat="1" ht="13.35" customHeight="1"/>
    <row r="3083" s="29" customFormat="1" ht="13.35" customHeight="1"/>
    <row r="3084" s="29" customFormat="1" ht="13.35" customHeight="1"/>
    <row r="3085" s="29" customFormat="1" ht="13.35" customHeight="1"/>
    <row r="3086" s="29" customFormat="1" ht="13.35" customHeight="1"/>
    <row r="3087" s="29" customFormat="1" ht="13.35" customHeight="1"/>
    <row r="3088" s="29" customFormat="1" ht="13.35" customHeight="1"/>
    <row r="3089" s="29" customFormat="1" ht="13.35" customHeight="1"/>
    <row r="3090" s="29" customFormat="1" ht="13.35" customHeight="1"/>
    <row r="3091" s="29" customFormat="1" ht="13.35" customHeight="1"/>
    <row r="3092" s="29" customFormat="1" ht="13.35" customHeight="1"/>
    <row r="3093" s="29" customFormat="1" ht="13.35" customHeight="1"/>
    <row r="3094" s="29" customFormat="1" ht="13.35" customHeight="1"/>
    <row r="3095" s="29" customFormat="1" ht="13.35" customHeight="1"/>
    <row r="3096" s="29" customFormat="1" ht="13.35" customHeight="1"/>
    <row r="3097" s="29" customFormat="1" ht="13.35" customHeight="1"/>
    <row r="3098" s="29" customFormat="1" ht="13.35" customHeight="1"/>
    <row r="3099" s="29" customFormat="1" ht="13.35" customHeight="1"/>
    <row r="3100" s="29" customFormat="1" ht="13.35" customHeight="1"/>
    <row r="3101" s="29" customFormat="1" ht="13.35" customHeight="1"/>
    <row r="3102" s="29" customFormat="1" ht="13.35" customHeight="1"/>
    <row r="3103" s="29" customFormat="1" ht="13.35" customHeight="1"/>
    <row r="3104" s="29" customFormat="1" ht="13.35" customHeight="1"/>
    <row r="3105" s="29" customFormat="1" ht="13.35" customHeight="1"/>
    <row r="3106" s="29" customFormat="1" ht="13.35" customHeight="1"/>
    <row r="3107" s="29" customFormat="1" ht="13.35" customHeight="1"/>
    <row r="3108" s="29" customFormat="1" ht="13.35" customHeight="1"/>
    <row r="3109" s="29" customFormat="1" ht="13.35" customHeight="1"/>
    <row r="3110" s="29" customFormat="1" ht="13.35" customHeight="1"/>
    <row r="3111" s="29" customFormat="1" ht="13.35" customHeight="1"/>
    <row r="3112" s="29" customFormat="1" ht="13.35" customHeight="1"/>
    <row r="3113" s="29" customFormat="1" ht="13.35" customHeight="1"/>
    <row r="3114" s="29" customFormat="1" ht="13.35" customHeight="1"/>
    <row r="3115" s="29" customFormat="1" ht="13.35" customHeight="1"/>
    <row r="3116" s="29" customFormat="1" ht="13.35" customHeight="1"/>
    <row r="3117" s="29" customFormat="1" ht="13.35" customHeight="1"/>
    <row r="3118" s="29" customFormat="1" ht="13.35" customHeight="1"/>
    <row r="3119" s="29" customFormat="1" ht="13.35" customHeight="1"/>
    <row r="3120" s="29" customFormat="1" ht="13.35" customHeight="1"/>
    <row r="3121" s="29" customFormat="1" ht="13.35" customHeight="1"/>
    <row r="3122" s="29" customFormat="1" ht="13.35" customHeight="1"/>
    <row r="3123" s="29" customFormat="1" ht="13.35" customHeight="1"/>
    <row r="3124" s="29" customFormat="1" ht="13.35" customHeight="1"/>
    <row r="3125" s="29" customFormat="1" ht="13.35" customHeight="1"/>
    <row r="3126" s="29" customFormat="1" ht="13.35" customHeight="1"/>
    <row r="3127" s="29" customFormat="1" ht="13.35" customHeight="1"/>
    <row r="3128" s="29" customFormat="1" ht="13.35" customHeight="1"/>
    <row r="3129" s="29" customFormat="1" ht="13.35" customHeight="1"/>
    <row r="3130" s="29" customFormat="1" ht="13.35" customHeight="1"/>
    <row r="3131" s="29" customFormat="1" ht="13.35" customHeight="1"/>
    <row r="3132" s="29" customFormat="1" ht="13.35" customHeight="1"/>
    <row r="3133" s="29" customFormat="1" ht="13.35" customHeight="1"/>
    <row r="3134" s="29" customFormat="1" ht="13.35" customHeight="1"/>
    <row r="3135" s="29" customFormat="1" ht="13.35" customHeight="1"/>
    <row r="3136" s="29" customFormat="1" ht="13.35" customHeight="1"/>
    <row r="3137" s="29" customFormat="1" ht="13.35" customHeight="1"/>
    <row r="3138" s="29" customFormat="1" ht="13.35" customHeight="1"/>
    <row r="3139" s="29" customFormat="1" ht="13.35" customHeight="1"/>
    <row r="3140" s="29" customFormat="1" ht="13.35" customHeight="1"/>
    <row r="3141" s="29" customFormat="1" ht="13.35" customHeight="1"/>
    <row r="3142" s="29" customFormat="1" ht="13.35" customHeight="1"/>
    <row r="3143" s="29" customFormat="1" ht="13.35" customHeight="1"/>
    <row r="3144" s="29" customFormat="1" ht="13.35" customHeight="1"/>
    <row r="3145" s="29" customFormat="1" ht="13.35" customHeight="1"/>
    <row r="3146" s="29" customFormat="1" ht="13.35" customHeight="1"/>
    <row r="3147" s="29" customFormat="1" ht="13.35" customHeight="1"/>
    <row r="3148" s="29" customFormat="1" ht="13.35" customHeight="1"/>
    <row r="3149" s="29" customFormat="1" ht="13.35" customHeight="1"/>
    <row r="3150" s="29" customFormat="1" ht="13.35" customHeight="1"/>
    <row r="3151" s="29" customFormat="1" ht="13.35" customHeight="1"/>
    <row r="3152" s="29" customFormat="1" ht="13.35" customHeight="1"/>
    <row r="3153" s="29" customFormat="1" ht="13.35" customHeight="1"/>
    <row r="3154" s="29" customFormat="1" ht="13.35" customHeight="1"/>
    <row r="3155" s="29" customFormat="1" ht="13.35" customHeight="1"/>
    <row r="3156" s="29" customFormat="1" ht="13.35" customHeight="1"/>
    <row r="3157" s="29" customFormat="1" ht="13.35" customHeight="1"/>
    <row r="3158" s="29" customFormat="1" ht="13.35" customHeight="1"/>
    <row r="3159" s="29" customFormat="1" ht="13.35" customHeight="1"/>
    <row r="3160" s="29" customFormat="1" ht="13.35" customHeight="1"/>
    <row r="3161" s="29" customFormat="1" ht="13.35" customHeight="1"/>
    <row r="3162" s="29" customFormat="1" ht="13.35" customHeight="1"/>
    <row r="3163" s="29" customFormat="1" ht="13.35" customHeight="1"/>
    <row r="3164" s="29" customFormat="1" ht="13.35" customHeight="1"/>
    <row r="3165" s="29" customFormat="1" ht="13.35" customHeight="1"/>
    <row r="3166" s="29" customFormat="1" ht="13.35" customHeight="1"/>
    <row r="3167" s="29" customFormat="1" ht="13.35" customHeight="1"/>
    <row r="3168" s="29" customFormat="1" ht="13.35" customHeight="1"/>
    <row r="3169" s="29" customFormat="1" ht="13.35" customHeight="1"/>
    <row r="3170" s="29" customFormat="1" ht="13.35" customHeight="1"/>
    <row r="3171" s="29" customFormat="1" ht="13.35" customHeight="1"/>
    <row r="3172" s="29" customFormat="1" ht="13.35" customHeight="1"/>
    <row r="3173" s="29" customFormat="1" ht="13.35" customHeight="1"/>
    <row r="3174" s="29" customFormat="1" ht="13.35" customHeight="1"/>
    <row r="3175" s="29" customFormat="1" ht="13.35" customHeight="1"/>
    <row r="3176" s="29" customFormat="1" ht="13.35" customHeight="1"/>
    <row r="3177" s="29" customFormat="1" ht="13.35" customHeight="1"/>
    <row r="3178" s="29" customFormat="1" ht="13.35" customHeight="1"/>
    <row r="3179" s="29" customFormat="1" ht="13.35" customHeight="1"/>
    <row r="3180" s="29" customFormat="1" ht="13.35" customHeight="1"/>
    <row r="3181" s="29" customFormat="1" ht="13.35" customHeight="1"/>
    <row r="3182" s="29" customFormat="1" ht="13.35" customHeight="1"/>
    <row r="3183" s="29" customFormat="1" ht="13.35" customHeight="1"/>
    <row r="3184" s="29" customFormat="1" ht="13.35" customHeight="1"/>
    <row r="3185" s="29" customFormat="1" ht="13.35" customHeight="1"/>
    <row r="3186" s="29" customFormat="1" ht="13.35" customHeight="1"/>
    <row r="3187" s="29" customFormat="1" ht="13.35" customHeight="1"/>
    <row r="3188" s="29" customFormat="1" ht="13.35" customHeight="1"/>
    <row r="3189" s="29" customFormat="1" ht="13.35" customHeight="1"/>
    <row r="3190" s="29" customFormat="1" ht="13.35" customHeight="1"/>
    <row r="3191" s="29" customFormat="1" ht="13.35" customHeight="1"/>
    <row r="3192" s="29" customFormat="1" ht="13.35" customHeight="1"/>
    <row r="3193" s="29" customFormat="1" ht="13.35" customHeight="1"/>
    <row r="3194" s="29" customFormat="1" ht="13.35" customHeight="1"/>
    <row r="3195" s="29" customFormat="1" ht="13.35" customHeight="1"/>
    <row r="3196" s="29" customFormat="1" ht="13.35" customHeight="1"/>
    <row r="3197" s="29" customFormat="1" ht="13.35" customHeight="1"/>
    <row r="3198" s="29" customFormat="1" ht="13.35" customHeight="1"/>
    <row r="3199" s="29" customFormat="1" ht="13.35" customHeight="1"/>
    <row r="3200" s="29" customFormat="1" ht="13.35" customHeight="1"/>
    <row r="3201" s="29" customFormat="1" ht="13.35" customHeight="1"/>
    <row r="3202" s="29" customFormat="1" ht="13.35" customHeight="1"/>
    <row r="3203" s="29" customFormat="1" ht="13.35" customHeight="1"/>
    <row r="3204" s="29" customFormat="1" ht="13.35" customHeight="1"/>
    <row r="3205" s="29" customFormat="1" ht="13.35" customHeight="1"/>
    <row r="3206" s="29" customFormat="1" ht="13.35" customHeight="1"/>
    <row r="3207" s="29" customFormat="1" ht="13.35" customHeight="1"/>
    <row r="3208" s="29" customFormat="1" ht="13.35" customHeight="1"/>
    <row r="3209" s="29" customFormat="1" ht="13.35" customHeight="1"/>
    <row r="3210" s="29" customFormat="1" ht="13.35" customHeight="1"/>
    <row r="3211" s="29" customFormat="1" ht="13.35" customHeight="1"/>
    <row r="3212" s="29" customFormat="1" ht="13.35" customHeight="1"/>
    <row r="3213" s="29" customFormat="1" ht="13.35" customHeight="1"/>
    <row r="3214" s="29" customFormat="1" ht="13.35" customHeight="1"/>
    <row r="3215" s="29" customFormat="1" ht="13.35" customHeight="1"/>
    <row r="3216" s="29" customFormat="1" ht="13.35" customHeight="1"/>
    <row r="3217" s="29" customFormat="1" ht="13.35" customHeight="1"/>
    <row r="3218" s="29" customFormat="1" ht="13.35" customHeight="1"/>
    <row r="3219" s="29" customFormat="1" ht="13.35" customHeight="1"/>
    <row r="3220" s="29" customFormat="1" ht="13.35" customHeight="1"/>
    <row r="3221" s="29" customFormat="1" ht="13.35" customHeight="1"/>
    <row r="3222" s="29" customFormat="1" ht="13.35" customHeight="1"/>
    <row r="3223" s="29" customFormat="1" ht="13.35" customHeight="1"/>
    <row r="3224" s="29" customFormat="1" ht="13.35" customHeight="1"/>
    <row r="3225" s="29" customFormat="1" ht="13.35" customHeight="1"/>
    <row r="3226" s="29" customFormat="1" ht="13.35" customHeight="1"/>
    <row r="3227" s="29" customFormat="1" ht="13.35" customHeight="1"/>
    <row r="3228" s="29" customFormat="1" ht="13.35" customHeight="1"/>
    <row r="3229" s="29" customFormat="1" ht="13.35" customHeight="1"/>
    <row r="3230" s="29" customFormat="1" ht="13.35" customHeight="1"/>
    <row r="3231" s="29" customFormat="1" ht="13.35" customHeight="1"/>
    <row r="3232" s="29" customFormat="1" ht="13.35" customHeight="1"/>
    <row r="3233" s="29" customFormat="1" ht="13.35" customHeight="1"/>
    <row r="3234" s="29" customFormat="1" ht="13.35" customHeight="1"/>
    <row r="3235" s="29" customFormat="1" ht="13.35" customHeight="1"/>
    <row r="3236" s="29" customFormat="1" ht="13.35" customHeight="1"/>
    <row r="3237" s="29" customFormat="1" ht="13.35" customHeight="1"/>
    <row r="3238" s="29" customFormat="1" ht="13.35" customHeight="1"/>
    <row r="3239" s="29" customFormat="1" ht="13.35" customHeight="1"/>
    <row r="3240" s="29" customFormat="1" ht="13.35" customHeight="1"/>
    <row r="3241" s="29" customFormat="1" ht="13.35" customHeight="1"/>
    <row r="3242" s="29" customFormat="1" ht="13.35" customHeight="1"/>
    <row r="3243" s="29" customFormat="1" ht="13.35" customHeight="1"/>
    <row r="3244" s="29" customFormat="1" ht="13.35" customHeight="1"/>
    <row r="3245" s="29" customFormat="1" ht="13.35" customHeight="1"/>
    <row r="3246" s="29" customFormat="1" ht="13.35" customHeight="1"/>
    <row r="3247" s="29" customFormat="1" ht="13.35" customHeight="1"/>
    <row r="3248" s="29" customFormat="1" ht="13.35" customHeight="1"/>
    <row r="3249" s="29" customFormat="1" ht="13.35" customHeight="1"/>
    <row r="3250" s="29" customFormat="1" ht="13.35" customHeight="1"/>
    <row r="3251" s="29" customFormat="1" ht="13.35" customHeight="1"/>
    <row r="3252" s="29" customFormat="1" ht="13.35" customHeight="1"/>
    <row r="3253" s="29" customFormat="1" ht="13.35" customHeight="1"/>
    <row r="3254" s="29" customFormat="1" ht="13.35" customHeight="1"/>
    <row r="3255" s="29" customFormat="1" ht="13.35" customHeight="1"/>
    <row r="3256" s="29" customFormat="1" ht="13.35" customHeight="1"/>
    <row r="3257" s="29" customFormat="1" ht="13.35" customHeight="1"/>
    <row r="3258" s="29" customFormat="1" ht="13.35" customHeight="1"/>
    <row r="3259" s="29" customFormat="1" ht="13.35" customHeight="1"/>
    <row r="3260" s="29" customFormat="1" ht="13.35" customHeight="1"/>
    <row r="3261" s="29" customFormat="1" ht="13.35" customHeight="1"/>
    <row r="3262" s="29" customFormat="1" ht="13.35" customHeight="1"/>
    <row r="3263" s="29" customFormat="1" ht="13.35" customHeight="1"/>
    <row r="3264" s="29" customFormat="1" ht="13.35" customHeight="1"/>
    <row r="3265" s="29" customFormat="1" ht="13.35" customHeight="1"/>
    <row r="3266" s="29" customFormat="1" ht="13.35" customHeight="1"/>
    <row r="3267" s="29" customFormat="1" ht="13.35" customHeight="1"/>
    <row r="3268" s="29" customFormat="1" ht="13.35" customHeight="1"/>
    <row r="3269" s="29" customFormat="1" ht="13.35" customHeight="1"/>
    <row r="3270" s="29" customFormat="1" ht="13.35" customHeight="1"/>
    <row r="3271" s="29" customFormat="1" ht="13.35" customHeight="1"/>
    <row r="3272" s="29" customFormat="1" ht="13.35" customHeight="1"/>
    <row r="3273" s="29" customFormat="1" ht="13.35" customHeight="1"/>
    <row r="3274" s="29" customFormat="1" ht="13.35" customHeight="1"/>
    <row r="3275" s="29" customFormat="1" ht="13.35" customHeight="1"/>
    <row r="3276" s="29" customFormat="1" ht="13.35" customHeight="1"/>
    <row r="3277" s="29" customFormat="1" ht="13.35" customHeight="1"/>
    <row r="3278" s="29" customFormat="1" ht="13.35" customHeight="1"/>
    <row r="3279" s="29" customFormat="1" ht="13.35" customHeight="1"/>
    <row r="3280" s="29" customFormat="1" ht="13.35" customHeight="1"/>
    <row r="3281" s="29" customFormat="1" ht="13.35" customHeight="1"/>
    <row r="3282" s="29" customFormat="1" ht="13.35" customHeight="1"/>
    <row r="3283" s="29" customFormat="1" ht="13.35" customHeight="1"/>
    <row r="3284" s="29" customFormat="1" ht="13.35" customHeight="1"/>
    <row r="3285" s="29" customFormat="1" ht="13.35" customHeight="1"/>
    <row r="3286" s="29" customFormat="1" ht="13.35" customHeight="1"/>
    <row r="3287" s="29" customFormat="1" ht="13.35" customHeight="1"/>
    <row r="3288" s="29" customFormat="1" ht="13.35" customHeight="1"/>
    <row r="3289" s="29" customFormat="1" ht="13.35" customHeight="1"/>
    <row r="3290" s="29" customFormat="1" ht="13.35" customHeight="1"/>
    <row r="3291" s="29" customFormat="1" ht="13.35" customHeight="1"/>
    <row r="3292" s="29" customFormat="1" ht="13.35" customHeight="1"/>
    <row r="3293" s="29" customFormat="1" ht="13.35" customHeight="1"/>
    <row r="3294" s="29" customFormat="1" ht="13.35" customHeight="1"/>
    <row r="3295" s="29" customFormat="1" ht="13.35" customHeight="1"/>
    <row r="3296" s="29" customFormat="1" ht="13.35" customHeight="1"/>
    <row r="3297" spans="1:39" s="29" customFormat="1" ht="13.35" customHeight="1"/>
    <row r="3298" spans="1:39" s="29" customFormat="1" ht="13.35" customHeight="1"/>
    <row r="3299" spans="1:39" s="29" customFormat="1" ht="13.35" customHeight="1"/>
    <row r="3300" spans="1:39" s="29" customFormat="1" ht="13.35" customHeight="1"/>
    <row r="3301" spans="1:39" s="29" customFormat="1" ht="13.35" customHeight="1"/>
    <row r="3302" spans="1:39" s="29" customFormat="1" ht="13.35" customHeight="1"/>
    <row r="3303" spans="1:39" s="29" customFormat="1" ht="13.35" customHeight="1"/>
    <row r="3304" spans="1:39" s="29" customFormat="1" ht="13.35" customHeight="1"/>
    <row r="3305" spans="1:39" s="29" customFormat="1" ht="13.35" customHeight="1"/>
    <row r="3306" spans="1:39" s="7" customFormat="1">
      <c r="A3306" s="29"/>
      <c r="B3306" s="29"/>
      <c r="C3306" s="29"/>
      <c r="D3306" s="29"/>
      <c r="E3306" s="29"/>
      <c r="F3306" s="29"/>
      <c r="G3306" s="29"/>
      <c r="H3306" s="29"/>
      <c r="I3306" s="29"/>
      <c r="J3306" s="29"/>
      <c r="AB3306" s="11"/>
      <c r="AC3306" s="11"/>
      <c r="AD3306" s="11"/>
      <c r="AE3306" s="11"/>
      <c r="AF3306" s="11"/>
      <c r="AG3306" s="11"/>
      <c r="AH3306" s="11"/>
      <c r="AI3306" s="11"/>
      <c r="AJ3306" s="11"/>
      <c r="AK3306" s="11"/>
      <c r="AL3306" s="11"/>
      <c r="AM3306" s="11"/>
    </row>
  </sheetData>
  <mergeCells count="2">
    <mergeCell ref="B3:C3"/>
    <mergeCell ref="B23:C23"/>
  </mergeCells>
  <pageMargins left="0.98425196850393704" right="0.98425196850393704" top="1.1811023622047245" bottom="1.1811023622047245" header="0.51181102362204722" footer="0.39370078740157483"/>
  <pageSetup paperSize="9" scale="7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25"/>
  <sheetViews>
    <sheetView showGridLines="0" zoomScaleNormal="100" workbookViewId="0"/>
  </sheetViews>
  <sheetFormatPr defaultRowHeight="12.75"/>
  <cols>
    <col min="1" max="1" width="0.85546875" style="49" customWidth="1"/>
    <col min="2" max="2" width="15.7109375" style="52" customWidth="1"/>
    <col min="3" max="3" width="29.42578125" style="52" customWidth="1"/>
    <col min="4" max="5" width="14.7109375" style="52" customWidth="1"/>
    <col min="6" max="16384" width="9.140625" style="54"/>
  </cols>
  <sheetData>
    <row r="1" spans="1:5" s="49" customFormat="1" ht="12.75" customHeight="1">
      <c r="A1" s="47" t="s">
        <v>156</v>
      </c>
      <c r="B1" s="47"/>
      <c r="C1" s="48"/>
    </row>
    <row r="2" spans="1:5" s="49" customFormat="1" ht="33.75">
      <c r="A2" s="75"/>
      <c r="B2" s="167" t="s">
        <v>153</v>
      </c>
      <c r="C2" s="79" t="s">
        <v>159</v>
      </c>
    </row>
    <row r="3" spans="1:5" s="49" customFormat="1" ht="13.35" customHeight="1">
      <c r="A3" s="76"/>
      <c r="B3" s="50" t="s">
        <v>38</v>
      </c>
      <c r="C3" s="199">
        <f>E21/E15</f>
        <v>0.61690996031641632</v>
      </c>
    </row>
    <row r="4" spans="1:5" s="49" customFormat="1" ht="13.35" customHeight="1">
      <c r="A4" s="76"/>
      <c r="B4" s="50" t="s">
        <v>102</v>
      </c>
      <c r="C4" s="199">
        <f>E22/E16</f>
        <v>0.71266034319584637</v>
      </c>
    </row>
    <row r="5" spans="1:5" s="49" customFormat="1" ht="13.35" customHeight="1">
      <c r="A5" s="76"/>
      <c r="B5" s="50" t="s">
        <v>106</v>
      </c>
      <c r="C5" s="199">
        <f>E23/E17</f>
        <v>0.5735035485660166</v>
      </c>
    </row>
    <row r="6" spans="1:5" s="49" customFormat="1" ht="13.35" customHeight="1">
      <c r="A6" s="77"/>
      <c r="B6" s="51" t="s">
        <v>110</v>
      </c>
      <c r="C6" s="200">
        <f>E24/E18</f>
        <v>0.55737388908419838</v>
      </c>
    </row>
    <row r="7" spans="1:5" s="49" customFormat="1" ht="12" customHeight="1">
      <c r="B7" s="63"/>
    </row>
    <row r="8" spans="1:5" s="49" customFormat="1" ht="12" customHeight="1">
      <c r="B8" s="74"/>
    </row>
    <row r="9" spans="1:5" s="49" customFormat="1" ht="13.35" customHeight="1"/>
    <row r="10" spans="1:5" s="49" customFormat="1" ht="13.35" customHeight="1"/>
    <row r="11" spans="1:5" s="49" customFormat="1" ht="13.35" customHeight="1"/>
    <row r="12" spans="1:5" s="49" customFormat="1" ht="13.35" customHeight="1">
      <c r="B12" s="178" t="s">
        <v>164</v>
      </c>
      <c r="C12" s="179"/>
      <c r="D12" s="179"/>
      <c r="E12" s="180"/>
    </row>
    <row r="13" spans="1:5" s="49" customFormat="1" ht="13.35" customHeight="1">
      <c r="B13" s="178"/>
      <c r="C13" s="225" t="s">
        <v>148</v>
      </c>
      <c r="D13" s="226"/>
      <c r="E13" s="227"/>
    </row>
    <row r="14" spans="1:5" s="49" customFormat="1" ht="13.35" customHeight="1">
      <c r="B14" s="181"/>
      <c r="C14" s="225" t="s">
        <v>150</v>
      </c>
      <c r="D14" s="226" t="s">
        <v>151</v>
      </c>
      <c r="E14" s="227" t="s">
        <v>152</v>
      </c>
    </row>
    <row r="15" spans="1:5" s="49" customFormat="1" ht="13.35" customHeight="1">
      <c r="B15" s="184" t="s">
        <v>38</v>
      </c>
      <c r="C15" s="185">
        <f>A4.4.2!D$37</f>
        <v>550527.70178300003</v>
      </c>
      <c r="D15" s="186">
        <f>-A4.4.2!E$37</f>
        <v>384753.53947000002</v>
      </c>
      <c r="E15" s="160">
        <f>A4.4.2!F$37</f>
        <v>165774.16231300001</v>
      </c>
    </row>
    <row r="16" spans="1:5" s="49" customFormat="1" ht="13.35" customHeight="1">
      <c r="B16" s="184" t="s">
        <v>102</v>
      </c>
      <c r="C16" s="185">
        <f>A4.4.2!G$37</f>
        <v>613543.01037199993</v>
      </c>
      <c r="D16" s="186">
        <f>-A4.4.2!H$37</f>
        <v>426291.29208699998</v>
      </c>
      <c r="E16" s="160">
        <f>A4.4.2!I$37</f>
        <v>187251.71828500001</v>
      </c>
    </row>
    <row r="17" spans="2:5" s="49" customFormat="1" ht="13.35" customHeight="1">
      <c r="B17" s="184" t="s">
        <v>106</v>
      </c>
      <c r="C17" s="185">
        <f>A4.4.2!J$37</f>
        <v>616082.90770500014</v>
      </c>
      <c r="D17" s="186">
        <f>-A4.4.2!K$37</f>
        <v>424864.86996800004</v>
      </c>
      <c r="E17" s="160">
        <f>A4.4.2!L$37</f>
        <v>191218.03773700006</v>
      </c>
    </row>
    <row r="18" spans="2:5" s="49" customFormat="1" ht="13.35" customHeight="1">
      <c r="B18" s="187" t="s">
        <v>110</v>
      </c>
      <c r="C18" s="188">
        <f>A4.4.2!M$37</f>
        <v>673730.71230699995</v>
      </c>
      <c r="D18" s="189">
        <f>-A4.4.2!N$37</f>
        <v>467529.81554300012</v>
      </c>
      <c r="E18" s="190">
        <f>A4.4.2!O$37</f>
        <v>206200.89676400003</v>
      </c>
    </row>
    <row r="19" spans="2:5" s="49" customFormat="1" ht="13.35" customHeight="1">
      <c r="B19" s="191"/>
      <c r="C19" s="228" t="s">
        <v>149</v>
      </c>
      <c r="D19" s="228"/>
      <c r="E19" s="229"/>
    </row>
    <row r="20" spans="2:5" s="49" customFormat="1" ht="13.35" customHeight="1">
      <c r="B20" s="192"/>
      <c r="C20" s="226" t="s">
        <v>150</v>
      </c>
      <c r="D20" s="226" t="s">
        <v>151</v>
      </c>
      <c r="E20" s="227" t="s">
        <v>152</v>
      </c>
    </row>
    <row r="21" spans="2:5" s="49" customFormat="1" ht="13.35" customHeight="1">
      <c r="B21" s="193" t="s">
        <v>38</v>
      </c>
      <c r="C21" s="186">
        <f>A4.4.3!D$37</f>
        <v>138318.500405</v>
      </c>
      <c r="D21" s="186">
        <f>-A4.4.3!E$37</f>
        <v>240586.23229899997</v>
      </c>
      <c r="E21" s="160">
        <f>-A4.4.3!F$37</f>
        <v>102267.731894</v>
      </c>
    </row>
    <row r="22" spans="2:5" s="49" customFormat="1" ht="13.35" customHeight="1">
      <c r="B22" s="193" t="s">
        <v>102</v>
      </c>
      <c r="C22" s="186">
        <f>A4.4.3!G$37</f>
        <v>177784.02405700003</v>
      </c>
      <c r="D22" s="186">
        <f>-A4.4.3!H$37</f>
        <v>311230.8978739999</v>
      </c>
      <c r="E22" s="160">
        <f>-A4.4.3!I$37</f>
        <v>133446.87381700004</v>
      </c>
    </row>
    <row r="23" spans="2:5" s="49" customFormat="1" ht="13.35" customHeight="1">
      <c r="B23" s="193" t="s">
        <v>106</v>
      </c>
      <c r="C23" s="186">
        <f>A4.4.3!J$37</f>
        <v>141647.08419300002</v>
      </c>
      <c r="D23" s="186">
        <f>-A4.4.3!K$37</f>
        <v>251311.30738499999</v>
      </c>
      <c r="E23" s="160">
        <f>-A4.4.3!L$37</f>
        <v>109664.22319200002</v>
      </c>
    </row>
    <row r="24" spans="2:5" s="49" customFormat="1" ht="13.35" customHeight="1">
      <c r="B24" s="194" t="s">
        <v>110</v>
      </c>
      <c r="C24" s="189">
        <f>A4.4.3!M$37</f>
        <v>161259.68289900001</v>
      </c>
      <c r="D24" s="189">
        <f>-A4.4.3!N$37</f>
        <v>276190.67866099998</v>
      </c>
      <c r="E24" s="190">
        <f>-A4.4.3!O$37</f>
        <v>114930.99576200001</v>
      </c>
    </row>
    <row r="25" spans="2:5" s="49" customFormat="1" ht="13.35" customHeight="1"/>
  </sheetData>
  <pageMargins left="0.78740157480314965" right="0.78740157480314965" top="0.78740157480314965" bottom="0.78740157480314965" header="0.51181102362204722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H25"/>
  <sheetViews>
    <sheetView showGridLines="0" zoomScaleNormal="100" workbookViewId="0">
      <selection sqref="A1:H1"/>
    </sheetView>
  </sheetViews>
  <sheetFormatPr defaultRowHeight="12.75"/>
  <cols>
    <col min="1" max="1" width="0.85546875" style="49" customWidth="1"/>
    <col min="2" max="2" width="10.28515625" style="52" customWidth="1"/>
    <col min="3" max="5" width="12.7109375" style="52" customWidth="1"/>
    <col min="6" max="8" width="12.7109375" style="53" customWidth="1"/>
    <col min="9" max="16384" width="9.140625" style="54"/>
  </cols>
  <sheetData>
    <row r="1" spans="1:8" s="49" customFormat="1" ht="24.95" customHeight="1">
      <c r="A1" s="235" t="s">
        <v>163</v>
      </c>
      <c r="B1" s="235"/>
      <c r="C1" s="235"/>
      <c r="D1" s="235"/>
      <c r="E1" s="235"/>
      <c r="F1" s="235"/>
      <c r="G1" s="235"/>
      <c r="H1" s="235"/>
    </row>
    <row r="2" spans="1:8" s="49" customFormat="1" ht="45">
      <c r="A2" s="75"/>
      <c r="B2" s="167" t="s">
        <v>170</v>
      </c>
      <c r="C2" s="80" t="s">
        <v>157</v>
      </c>
      <c r="D2" s="78" t="s">
        <v>158</v>
      </c>
      <c r="E2" s="173" t="s">
        <v>161</v>
      </c>
      <c r="F2" s="78" t="s">
        <v>154</v>
      </c>
      <c r="G2" s="78" t="s">
        <v>155</v>
      </c>
      <c r="H2" s="170" t="s">
        <v>162</v>
      </c>
    </row>
    <row r="3" spans="1:8" s="49" customFormat="1" ht="13.35" customHeight="1">
      <c r="A3" s="76"/>
      <c r="B3" s="50" t="s">
        <v>38</v>
      </c>
      <c r="C3" s="174">
        <f>-D15/E15</f>
        <v>-2.3209499846154715</v>
      </c>
      <c r="D3" s="168">
        <f>C15/E15</f>
        <v>3.3209499846154715</v>
      </c>
      <c r="E3" s="175">
        <f>C3+D3</f>
        <v>1</v>
      </c>
      <c r="F3" s="168">
        <f>-D21/E21</f>
        <v>-2.3525136212893272</v>
      </c>
      <c r="G3" s="168">
        <f>C21/E21</f>
        <v>1.3525136212893276</v>
      </c>
      <c r="H3" s="171">
        <f>G3+F3</f>
        <v>-0.99999999999999956</v>
      </c>
    </row>
    <row r="4" spans="1:8" s="49" customFormat="1" ht="13.35" customHeight="1">
      <c r="A4" s="76"/>
      <c r="B4" s="50" t="s">
        <v>102</v>
      </c>
      <c r="C4" s="174">
        <f t="shared" ref="C4:C6" si="0">-D16/E16</f>
        <v>-2.2765681190608786</v>
      </c>
      <c r="D4" s="168">
        <f t="shared" ref="D4:D6" si="1">C16/E16</f>
        <v>3.2765681190608782</v>
      </c>
      <c r="E4" s="175">
        <f t="shared" ref="E4:E6" si="2">C4+D4</f>
        <v>0.99999999999999956</v>
      </c>
      <c r="F4" s="168">
        <f>-D22/E22</f>
        <v>-2.332245701767437</v>
      </c>
      <c r="G4" s="168">
        <f>C22/E22</f>
        <v>1.3322457017674385</v>
      </c>
      <c r="H4" s="171">
        <f>G4+F4</f>
        <v>-0.99999999999999845</v>
      </c>
    </row>
    <row r="5" spans="1:8" s="49" customFormat="1" ht="13.35" customHeight="1">
      <c r="A5" s="76"/>
      <c r="B5" s="50" t="s">
        <v>106</v>
      </c>
      <c r="C5" s="174">
        <f t="shared" si="0"/>
        <v>-2.2218869882576464</v>
      </c>
      <c r="D5" s="168">
        <f t="shared" si="1"/>
        <v>3.2218869882576464</v>
      </c>
      <c r="E5" s="175">
        <f t="shared" si="2"/>
        <v>1</v>
      </c>
      <c r="F5" s="168">
        <f>-D23/E23</f>
        <v>-2.291643528491552</v>
      </c>
      <c r="G5" s="168">
        <f>C23/E23</f>
        <v>1.2916435284915522</v>
      </c>
      <c r="H5" s="171">
        <f>G5+F5</f>
        <v>-0.99999999999999978</v>
      </c>
    </row>
    <row r="6" spans="1:8" s="49" customFormat="1" ht="13.35" customHeight="1">
      <c r="A6" s="77"/>
      <c r="B6" s="51" t="s">
        <v>110</v>
      </c>
      <c r="C6" s="176">
        <f t="shared" si="0"/>
        <v>-2.2673510294094155</v>
      </c>
      <c r="D6" s="169">
        <f t="shared" si="1"/>
        <v>3.2673510294094146</v>
      </c>
      <c r="E6" s="177">
        <f t="shared" si="2"/>
        <v>0.99999999999999911</v>
      </c>
      <c r="F6" s="169">
        <f>-D24/E24</f>
        <v>-2.4031000238868354</v>
      </c>
      <c r="G6" s="169">
        <f>C24/E24</f>
        <v>1.4031000238868356</v>
      </c>
      <c r="H6" s="172">
        <f>G6+F6</f>
        <v>-0.99999999999999978</v>
      </c>
    </row>
    <row r="7" spans="1:8" s="49" customFormat="1" ht="12" customHeight="1">
      <c r="B7" s="63"/>
    </row>
    <row r="8" spans="1:8" s="49" customFormat="1" ht="12" customHeight="1">
      <c r="B8" s="74"/>
    </row>
    <row r="9" spans="1:8" s="49" customFormat="1" ht="13.35" customHeight="1"/>
    <row r="10" spans="1:8" s="49" customFormat="1" ht="13.35" customHeight="1"/>
    <row r="11" spans="1:8" s="49" customFormat="1" ht="13.35" customHeight="1"/>
    <row r="12" spans="1:8" s="49" customFormat="1" ht="13.35" customHeight="1">
      <c r="B12" s="178" t="s">
        <v>164</v>
      </c>
      <c r="C12" s="179"/>
      <c r="D12" s="179"/>
      <c r="E12" s="180"/>
    </row>
    <row r="13" spans="1:8" s="49" customFormat="1" ht="13.35" customHeight="1">
      <c r="B13" s="178"/>
      <c r="C13" s="230" t="s">
        <v>148</v>
      </c>
      <c r="D13" s="231"/>
      <c r="E13" s="232"/>
    </row>
    <row r="14" spans="1:8" s="49" customFormat="1" ht="13.35" customHeight="1">
      <c r="B14" s="181"/>
      <c r="C14" s="222" t="s">
        <v>150</v>
      </c>
      <c r="D14" s="223" t="s">
        <v>151</v>
      </c>
      <c r="E14" s="224" t="s">
        <v>152</v>
      </c>
    </row>
    <row r="15" spans="1:8" s="49" customFormat="1" ht="13.35" customHeight="1">
      <c r="B15" s="184" t="s">
        <v>38</v>
      </c>
      <c r="C15" s="185">
        <f>A4.4.2!D$37</f>
        <v>550527.70178300003</v>
      </c>
      <c r="D15" s="186">
        <f>-A4.4.2!E$37</f>
        <v>384753.53947000002</v>
      </c>
      <c r="E15" s="160">
        <f>A4.4.2!F$37</f>
        <v>165774.16231300001</v>
      </c>
    </row>
    <row r="16" spans="1:8" s="49" customFormat="1" ht="13.35" customHeight="1">
      <c r="B16" s="184" t="s">
        <v>102</v>
      </c>
      <c r="C16" s="185">
        <f>A4.4.2!G$37</f>
        <v>613543.01037199993</v>
      </c>
      <c r="D16" s="186">
        <f>-A4.4.2!H$37</f>
        <v>426291.29208699998</v>
      </c>
      <c r="E16" s="160">
        <f>A4.4.2!I$37</f>
        <v>187251.71828500001</v>
      </c>
    </row>
    <row r="17" spans="2:5" s="49" customFormat="1" ht="13.35" customHeight="1">
      <c r="B17" s="184" t="s">
        <v>106</v>
      </c>
      <c r="C17" s="185">
        <f>A4.4.2!J$37</f>
        <v>616082.90770500014</v>
      </c>
      <c r="D17" s="186">
        <f>-A4.4.2!K$37</f>
        <v>424864.86996800004</v>
      </c>
      <c r="E17" s="160">
        <f>A4.4.2!L$37</f>
        <v>191218.03773700006</v>
      </c>
    </row>
    <row r="18" spans="2:5" s="49" customFormat="1" ht="13.35" customHeight="1">
      <c r="B18" s="187" t="s">
        <v>110</v>
      </c>
      <c r="C18" s="188">
        <f>A4.4.2!M$37</f>
        <v>673730.71230699995</v>
      </c>
      <c r="D18" s="189">
        <f>-A4.4.2!N$37</f>
        <v>467529.81554300012</v>
      </c>
      <c r="E18" s="190">
        <f>A4.4.2!O$37</f>
        <v>206200.89676400003</v>
      </c>
    </row>
    <row r="19" spans="2:5" s="49" customFormat="1" ht="13.35" customHeight="1">
      <c r="B19" s="191"/>
      <c r="C19" s="233" t="s">
        <v>149</v>
      </c>
      <c r="D19" s="233"/>
      <c r="E19" s="234"/>
    </row>
    <row r="20" spans="2:5" s="49" customFormat="1" ht="13.35" customHeight="1">
      <c r="B20" s="192"/>
      <c r="C20" s="223" t="s">
        <v>150</v>
      </c>
      <c r="D20" s="223" t="s">
        <v>151</v>
      </c>
      <c r="E20" s="224" t="s">
        <v>152</v>
      </c>
    </row>
    <row r="21" spans="2:5" s="49" customFormat="1" ht="13.35" customHeight="1">
      <c r="B21" s="193" t="s">
        <v>38</v>
      </c>
      <c r="C21" s="186">
        <f>A4.4.3!D$37</f>
        <v>138318.500405</v>
      </c>
      <c r="D21" s="186">
        <f>-A4.4.3!E$37</f>
        <v>240586.23229899997</v>
      </c>
      <c r="E21" s="160">
        <f>-A4.4.3!F$37</f>
        <v>102267.731894</v>
      </c>
    </row>
    <row r="22" spans="2:5" s="49" customFormat="1" ht="13.35" customHeight="1">
      <c r="B22" s="193" t="s">
        <v>102</v>
      </c>
      <c r="C22" s="186">
        <f>A4.4.3!G$37</f>
        <v>177784.02405700003</v>
      </c>
      <c r="D22" s="186">
        <f>-A4.4.3!H$37</f>
        <v>311230.8978739999</v>
      </c>
      <c r="E22" s="160">
        <f>-A4.4.3!I$37</f>
        <v>133446.87381700004</v>
      </c>
    </row>
    <row r="23" spans="2:5" s="49" customFormat="1" ht="13.35" customHeight="1">
      <c r="B23" s="193" t="s">
        <v>106</v>
      </c>
      <c r="C23" s="186">
        <f>A4.4.3!J$37</f>
        <v>141647.08419300002</v>
      </c>
      <c r="D23" s="186">
        <f>-A4.4.3!K$37</f>
        <v>251311.30738499999</v>
      </c>
      <c r="E23" s="160">
        <f>-A4.4.3!L$37</f>
        <v>109664.22319200002</v>
      </c>
    </row>
    <row r="24" spans="2:5" s="49" customFormat="1" ht="13.35" customHeight="1">
      <c r="B24" s="194" t="s">
        <v>110</v>
      </c>
      <c r="C24" s="189">
        <f>A4.4.3!M$37</f>
        <v>161259.68289900001</v>
      </c>
      <c r="D24" s="189">
        <f>-A4.4.3!N$37</f>
        <v>276190.67866099998</v>
      </c>
      <c r="E24" s="190">
        <f>-A4.4.3!O$37</f>
        <v>114930.99576200001</v>
      </c>
    </row>
    <row r="25" spans="2:5" s="49" customFormat="1" ht="13.35" customHeight="1"/>
  </sheetData>
  <mergeCells count="3">
    <mergeCell ref="C13:E13"/>
    <mergeCell ref="C19:E19"/>
    <mergeCell ref="A1:H1"/>
  </mergeCells>
  <pageMargins left="0.78740157480314965" right="0.78740157480314965" top="0.78740157480314965" bottom="0.78740157480314965" header="0.51181102362204722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73"/>
  <sheetViews>
    <sheetView showGridLines="0" zoomScaleNormal="100" workbookViewId="0"/>
  </sheetViews>
  <sheetFormatPr defaultRowHeight="12.75"/>
  <cols>
    <col min="1" max="1" width="1.5703125" style="118" customWidth="1"/>
    <col min="2" max="2" width="43.5703125" style="119" bestFit="1" customWidth="1"/>
    <col min="3" max="3" width="12.28515625" style="119" customWidth="1"/>
    <col min="4" max="4" width="12.28515625" style="120" customWidth="1"/>
    <col min="5" max="5" width="9.140625" style="121"/>
    <col min="6" max="16384" width="9.140625" style="122"/>
  </cols>
  <sheetData>
    <row r="1" spans="1:4" s="118" customFormat="1" ht="13.35" customHeight="1">
      <c r="A1" s="115" t="s">
        <v>111</v>
      </c>
      <c r="B1" s="116"/>
      <c r="C1" s="116"/>
      <c r="D1" s="117"/>
    </row>
    <row r="2" spans="1:4" s="118" customFormat="1" ht="13.35" customHeight="1">
      <c r="A2" s="116"/>
      <c r="B2" s="116"/>
      <c r="C2" s="116"/>
      <c r="D2" s="116"/>
    </row>
    <row r="3" spans="1:4" s="118" customFormat="1" ht="13.35" customHeight="1">
      <c r="A3" s="116"/>
      <c r="B3" s="116"/>
      <c r="C3" s="116"/>
      <c r="D3" s="116"/>
    </row>
    <row r="4" spans="1:4" s="118" customFormat="1" ht="13.35" customHeight="1">
      <c r="A4" s="116"/>
      <c r="B4" s="116"/>
      <c r="C4" s="116"/>
      <c r="D4" s="116"/>
    </row>
    <row r="5" spans="1:4" s="118" customFormat="1" ht="13.35" customHeight="1">
      <c r="A5" s="116"/>
      <c r="B5" s="116"/>
      <c r="C5" s="116"/>
      <c r="D5" s="116"/>
    </row>
    <row r="6" spans="1:4" s="118" customFormat="1" ht="13.35" customHeight="1">
      <c r="A6" s="116"/>
      <c r="B6" s="116"/>
      <c r="C6" s="116"/>
      <c r="D6" s="116"/>
    </row>
    <row r="7" spans="1:4" s="118" customFormat="1" ht="13.35" customHeight="1">
      <c r="A7" s="116"/>
      <c r="B7" s="116"/>
      <c r="C7" s="116"/>
      <c r="D7" s="116"/>
    </row>
    <row r="8" spans="1:4" s="118" customFormat="1" ht="13.35" customHeight="1">
      <c r="A8" s="116"/>
      <c r="B8" s="116"/>
      <c r="C8" s="116"/>
      <c r="D8" s="116"/>
    </row>
    <row r="9" spans="1:4" s="118" customFormat="1" ht="13.35" customHeight="1">
      <c r="A9" s="116"/>
      <c r="B9" s="116"/>
      <c r="C9" s="116"/>
      <c r="D9" s="116"/>
    </row>
    <row r="10" spans="1:4" s="116" customFormat="1" ht="13.35" customHeight="1"/>
    <row r="11" spans="1:4" s="116" customFormat="1" ht="13.35" customHeight="1"/>
    <row r="12" spans="1:4" s="116" customFormat="1" ht="13.35" customHeight="1"/>
    <row r="13" spans="1:4" s="116" customFormat="1" ht="13.35" customHeight="1"/>
    <row r="14" spans="1:4" s="116" customFormat="1" ht="13.35" customHeight="1"/>
    <row r="15" spans="1:4" s="118" customFormat="1" ht="13.35" customHeight="1">
      <c r="A15" s="116"/>
      <c r="B15" s="116"/>
      <c r="C15" s="116"/>
      <c r="D15" s="116"/>
    </row>
    <row r="16" spans="1:4" s="118" customFormat="1" ht="13.35" customHeight="1">
      <c r="A16" s="116"/>
      <c r="B16" s="116"/>
      <c r="C16" s="116"/>
      <c r="D16" s="116"/>
    </row>
    <row r="17" spans="1:5" s="118" customFormat="1" ht="13.35" customHeight="1">
      <c r="A17" s="116"/>
      <c r="B17" s="116"/>
      <c r="C17" s="116"/>
      <c r="D17" s="116"/>
    </row>
    <row r="18" spans="1:5" s="118" customFormat="1" ht="13.35" customHeight="1">
      <c r="A18" s="116"/>
      <c r="B18" s="116"/>
      <c r="C18" s="116"/>
      <c r="D18" s="116"/>
    </row>
    <row r="19" spans="1:5" s="118" customFormat="1" ht="13.35" customHeight="1">
      <c r="A19" s="116"/>
      <c r="B19" s="116"/>
      <c r="C19" s="116"/>
      <c r="D19" s="116"/>
    </row>
    <row r="20" spans="1:5" s="118" customFormat="1" ht="13.35" customHeight="1">
      <c r="A20" s="116"/>
      <c r="B20" s="116"/>
      <c r="C20" s="116"/>
      <c r="D20" s="116"/>
    </row>
    <row r="21" spans="1:5" s="118" customFormat="1" ht="13.35" customHeight="1">
      <c r="A21" s="116"/>
      <c r="B21" s="116"/>
      <c r="C21" s="116"/>
      <c r="D21" s="116"/>
    </row>
    <row r="22" spans="1:5" s="118" customFormat="1" ht="13.35" customHeight="1">
      <c r="A22" s="115"/>
      <c r="B22" s="116"/>
      <c r="C22" s="116"/>
      <c r="D22" s="116"/>
    </row>
    <row r="23" spans="1:5" s="118" customFormat="1" ht="13.35" customHeight="1"/>
    <row r="24" spans="1:5" s="118" customFormat="1" ht="13.35" customHeight="1">
      <c r="B24" s="149" t="s">
        <v>138</v>
      </c>
      <c r="C24" s="161" t="s">
        <v>110</v>
      </c>
      <c r="D24" s="162" t="s">
        <v>110</v>
      </c>
    </row>
    <row r="25" spans="1:5" s="118" customFormat="1" ht="22.5">
      <c r="B25" s="128"/>
      <c r="C25" s="137" t="s">
        <v>5</v>
      </c>
      <c r="D25" s="62" t="s">
        <v>39</v>
      </c>
    </row>
    <row r="26" spans="1:5" s="118" customFormat="1" ht="13.35" customHeight="1">
      <c r="B26" s="129" t="s">
        <v>132</v>
      </c>
      <c r="C26" s="138">
        <f t="shared" ref="C26:D26" si="0">C38</f>
        <v>157447</v>
      </c>
      <c r="D26" s="132">
        <f t="shared" si="0"/>
        <v>65998</v>
      </c>
    </row>
    <row r="27" spans="1:5" s="118" customFormat="1" ht="13.35" customHeight="1">
      <c r="B27" s="129" t="str">
        <f t="shared" ref="B27:D27" si="1">B39</f>
        <v>Agencies and other services</v>
      </c>
      <c r="C27" s="138">
        <f t="shared" si="1"/>
        <v>32679</v>
      </c>
      <c r="D27" s="132">
        <f t="shared" si="1"/>
        <v>16988</v>
      </c>
    </row>
    <row r="28" spans="1:5" s="118" customFormat="1" ht="13.35" customHeight="1">
      <c r="B28" s="129" t="str">
        <f t="shared" ref="B28:D28" si="2">B40</f>
        <v>Retail trade</v>
      </c>
      <c r="C28" s="138">
        <f t="shared" si="2"/>
        <v>45609</v>
      </c>
      <c r="D28" s="132">
        <f t="shared" si="2"/>
        <v>13178</v>
      </c>
    </row>
    <row r="29" spans="1:5" s="121" customFormat="1" ht="13.35" customHeight="1">
      <c r="A29" s="118"/>
      <c r="B29" s="129" t="str">
        <f t="shared" ref="B29:D29" si="3">B41</f>
        <v>Construction</v>
      </c>
      <c r="C29" s="138">
        <f t="shared" si="3"/>
        <v>31527</v>
      </c>
      <c r="D29" s="132">
        <f t="shared" si="3"/>
        <v>13054</v>
      </c>
    </row>
    <row r="30" spans="1:5" s="118" customFormat="1" ht="13.35" customHeight="1">
      <c r="B30" s="129" t="s">
        <v>134</v>
      </c>
      <c r="C30" s="138">
        <f t="shared" ref="C30:D30" si="4">C42</f>
        <v>13749</v>
      </c>
      <c r="D30" s="132">
        <f t="shared" si="4"/>
        <v>12493</v>
      </c>
      <c r="E30" s="121"/>
    </row>
    <row r="31" spans="1:5" s="118" customFormat="1" ht="13.35" customHeight="1">
      <c r="B31" s="129" t="str">
        <f t="shared" ref="B31:D31" si="5">B43</f>
        <v>Wholesale trade</v>
      </c>
      <c r="C31" s="138">
        <f t="shared" si="5"/>
        <v>23083</v>
      </c>
      <c r="D31" s="132">
        <f t="shared" si="5"/>
        <v>9897</v>
      </c>
      <c r="E31" s="121"/>
    </row>
    <row r="32" spans="1:5" s="118" customFormat="1" ht="13.35" customHeight="1">
      <c r="B32" s="129" t="str">
        <f t="shared" ref="B32:D32" si="6">B44</f>
        <v>Agriculture, forestry and fishing</v>
      </c>
      <c r="C32" s="138">
        <f t="shared" si="6"/>
        <v>61910</v>
      </c>
      <c r="D32" s="132">
        <f t="shared" si="6"/>
        <v>9725</v>
      </c>
      <c r="E32" s="121"/>
    </row>
    <row r="33" spans="2:5" s="118" customFormat="1" ht="13.35" customHeight="1">
      <c r="B33" s="129" t="s">
        <v>173</v>
      </c>
      <c r="C33" s="138">
        <f>C72-SUM(C26:C32)</f>
        <v>100046</v>
      </c>
      <c r="D33" s="132">
        <f>D72-SUM(D26:D32)</f>
        <v>64133</v>
      </c>
      <c r="E33" s="121"/>
    </row>
    <row r="34" spans="2:5" s="118" customFormat="1" ht="13.35" customHeight="1">
      <c r="B34" s="130" t="s">
        <v>0</v>
      </c>
      <c r="C34" s="139">
        <f>SUM(C26:C33)</f>
        <v>466050</v>
      </c>
      <c r="D34" s="139">
        <f>SUM(D26:D33)</f>
        <v>205466</v>
      </c>
      <c r="E34" s="121"/>
    </row>
    <row r="35" spans="2:5" s="118" customFormat="1" ht="13.35" customHeight="1">
      <c r="B35" s="119"/>
      <c r="E35" s="121"/>
    </row>
    <row r="36" spans="2:5" s="118" customFormat="1" ht="13.35" customHeight="1">
      <c r="B36" s="127"/>
      <c r="C36" s="131" t="s">
        <v>110</v>
      </c>
      <c r="D36" s="136" t="s">
        <v>110</v>
      </c>
      <c r="E36" s="121"/>
    </row>
    <row r="37" spans="2:5" s="118" customFormat="1" ht="13.35" customHeight="1">
      <c r="B37" s="128"/>
      <c r="C37" s="137" t="s">
        <v>5</v>
      </c>
      <c r="D37" s="62" t="s">
        <v>39</v>
      </c>
      <c r="E37" s="121"/>
    </row>
    <row r="38" spans="2:5" s="118" customFormat="1" ht="13.35" customHeight="1">
      <c r="B38" s="129" t="str">
        <f>A4.1.1!B14</f>
        <v>Financing, insurance, real estate and business services</v>
      </c>
      <c r="C38" s="138">
        <f>A4.1.1!M14</f>
        <v>157447</v>
      </c>
      <c r="D38" s="132">
        <f>A4.1.1!N14</f>
        <v>65998</v>
      </c>
      <c r="E38" s="121"/>
    </row>
    <row r="39" spans="2:5" s="118" customFormat="1" ht="13.35" customHeight="1">
      <c r="B39" s="129" t="str">
        <f>A4.1.1!B4</f>
        <v>Agencies and other services</v>
      </c>
      <c r="C39" s="138">
        <f>A4.1.1!M4</f>
        <v>32679</v>
      </c>
      <c r="D39" s="132">
        <f>A4.1.1!N4</f>
        <v>16988</v>
      </c>
      <c r="E39" s="121"/>
    </row>
    <row r="40" spans="2:5" s="118" customFormat="1" ht="13.35" customHeight="1">
      <c r="B40" s="129" t="str">
        <f>A4.1.1!B27</f>
        <v>Retail trade</v>
      </c>
      <c r="C40" s="138">
        <f>A4.1.1!M27</f>
        <v>45609</v>
      </c>
      <c r="D40" s="132">
        <f>A4.1.1!N27</f>
        <v>13178</v>
      </c>
      <c r="E40" s="121"/>
    </row>
    <row r="41" spans="2:5" s="118" customFormat="1" ht="13.35" customHeight="1">
      <c r="B41" s="129" t="str">
        <f>A4.1.1!B11</f>
        <v>Construction</v>
      </c>
      <c r="C41" s="138">
        <f>A4.1.1!M11</f>
        <v>31527</v>
      </c>
      <c r="D41" s="132">
        <f>A4.1.1!N11</f>
        <v>13054</v>
      </c>
      <c r="E41" s="121"/>
    </row>
    <row r="42" spans="2:5" s="118" customFormat="1" ht="13.35" customHeight="1">
      <c r="B42" s="129" t="str">
        <f>A4.1.1!B33</f>
        <v>Transport, storage and communications</v>
      </c>
      <c r="C42" s="138">
        <f>A4.1.1!M33</f>
        <v>13749</v>
      </c>
      <c r="D42" s="132">
        <f>A4.1.1!N33</f>
        <v>12493</v>
      </c>
      <c r="E42" s="121"/>
    </row>
    <row r="43" spans="2:5" s="118" customFormat="1" ht="13.35" customHeight="1">
      <c r="B43" s="129" t="str">
        <f>A4.1.1!B35</f>
        <v>Wholesale trade</v>
      </c>
      <c r="C43" s="138">
        <f>A4.1.1!M35</f>
        <v>23083</v>
      </c>
      <c r="D43" s="132">
        <f>A4.1.1!N35</f>
        <v>9897</v>
      </c>
      <c r="E43" s="121"/>
    </row>
    <row r="44" spans="2:5" s="118" customFormat="1" ht="13.35" customHeight="1">
      <c r="B44" s="129" t="str">
        <f>A4.1.1!B5</f>
        <v>Agriculture, forestry and fishing</v>
      </c>
      <c r="C44" s="138">
        <f>A4.1.1!M5</f>
        <v>61910</v>
      </c>
      <c r="D44" s="132">
        <f>A4.1.1!N5</f>
        <v>9725</v>
      </c>
      <c r="E44" s="121"/>
    </row>
    <row r="45" spans="2:5" s="118" customFormat="1" ht="13.35" customHeight="1">
      <c r="B45" s="129" t="str">
        <f>A4.1.1!B15</f>
        <v>Food, drink and tobacco</v>
      </c>
      <c r="C45" s="138">
        <f>A4.1.1!M15</f>
        <v>3674</v>
      </c>
      <c r="D45" s="132">
        <f>A4.1.1!N15</f>
        <v>8654</v>
      </c>
      <c r="E45" s="121"/>
    </row>
    <row r="46" spans="2:5" s="118" customFormat="1" ht="13.35" customHeight="1">
      <c r="B46" s="129" t="str">
        <f>A4.1.1!B17</f>
        <v>Machinery and related items</v>
      </c>
      <c r="C46" s="138">
        <f>A4.1.1!M17</f>
        <v>8239</v>
      </c>
      <c r="D46" s="132">
        <f>A4.1.1!N17</f>
        <v>6664</v>
      </c>
      <c r="E46" s="121"/>
    </row>
    <row r="47" spans="2:5" s="118" customFormat="1" ht="13.35" customHeight="1">
      <c r="B47" s="129" t="str">
        <f>A4.1.1!B20</f>
        <v>Mining and quarrying</v>
      </c>
      <c r="C47" s="138">
        <f>A4.1.1!M20</f>
        <v>2507</v>
      </c>
      <c r="D47" s="132">
        <f>A4.1.1!N20</f>
        <v>6672</v>
      </c>
      <c r="E47" s="121"/>
    </row>
    <row r="48" spans="2:5" s="118" customFormat="1" ht="13.35" customHeight="1">
      <c r="B48" s="129" t="str">
        <f>A4.1.1!B18</f>
        <v>Medical, dental and other health and veterinary services</v>
      </c>
      <c r="C48" s="138">
        <f>A4.1.1!M18</f>
        <v>15065</v>
      </c>
      <c r="D48" s="132">
        <f>A4.1.1!N18</f>
        <v>5731</v>
      </c>
      <c r="E48" s="121"/>
    </row>
    <row r="49" spans="2:5" s="118" customFormat="1" ht="13.35" customHeight="1">
      <c r="B49" s="129" t="str">
        <f>A4.1.1!B19</f>
        <v>Metal (including metal products)</v>
      </c>
      <c r="C49" s="138">
        <f>A4.1.1!M19</f>
        <v>7126</v>
      </c>
      <c r="D49" s="132">
        <f>A4.1.1!N19</f>
        <v>4059</v>
      </c>
      <c r="E49" s="121"/>
    </row>
    <row r="50" spans="2:5" s="118" customFormat="1" ht="13.35" customHeight="1">
      <c r="B50" s="129" t="str">
        <f>A4.1.1!B8</f>
        <v>Chemicals and chemical, rubber and plastic products</v>
      </c>
      <c r="C50" s="138">
        <f>A4.1.1!M8</f>
        <v>3906</v>
      </c>
      <c r="D50" s="132">
        <f>A4.1.1!N8</f>
        <v>4205</v>
      </c>
      <c r="E50" s="121"/>
    </row>
    <row r="51" spans="2:5" s="118" customFormat="1" ht="13.35" customHeight="1">
      <c r="B51" s="129" t="str">
        <f>A4.1.1!B34</f>
        <v>Vehicles, parts and accessories</v>
      </c>
      <c r="C51" s="138">
        <f>A4.1.1!M34</f>
        <v>4744</v>
      </c>
      <c r="D51" s="132">
        <f>A4.1.1!N34</f>
        <v>3684</v>
      </c>
      <c r="E51" s="121"/>
    </row>
    <row r="52" spans="2:5" s="118" customFormat="1" ht="13.35" customHeight="1">
      <c r="B52" s="129" t="str">
        <f>A4.1.1!B10</f>
        <v>Coal and petroleum products</v>
      </c>
      <c r="C52" s="138">
        <f>A4.1.1!M10</f>
        <v>774</v>
      </c>
      <c r="D52" s="132">
        <f>A4.1.1!N10</f>
        <v>3203</v>
      </c>
      <c r="E52" s="121"/>
    </row>
    <row r="53" spans="2:5" s="118" customFormat="1" ht="13.35" customHeight="1">
      <c r="B53" s="129" t="str">
        <f>A4.1.1!B7</f>
        <v>Catering and accommodation</v>
      </c>
      <c r="C53" s="138">
        <f>A4.1.1!M7</f>
        <v>14672</v>
      </c>
      <c r="D53" s="132">
        <f>A4.1.1!N7</f>
        <v>3163</v>
      </c>
      <c r="E53" s="121"/>
    </row>
    <row r="54" spans="2:5" s="118" customFormat="1" ht="13.35" customHeight="1">
      <c r="B54" s="129" t="str">
        <f>A4.1.1!B22</f>
        <v>Paper, printing and publishing</v>
      </c>
      <c r="C54" s="138">
        <f>A4.1.1!M22</f>
        <v>3893</v>
      </c>
      <c r="D54" s="132">
        <f>A4.1.1!N22</f>
        <v>2746</v>
      </c>
      <c r="E54" s="121"/>
    </row>
    <row r="55" spans="2:5" s="118" customFormat="1" ht="13.35" customHeight="1">
      <c r="B55" s="129" t="str">
        <f>A4.1.1!B25</f>
        <v>Recreation and cultural services</v>
      </c>
      <c r="C55" s="138">
        <f>A4.1.1!M25</f>
        <v>3532</v>
      </c>
      <c r="D55" s="132">
        <f>A4.1.1!N25</f>
        <v>2608</v>
      </c>
      <c r="E55" s="121"/>
    </row>
    <row r="56" spans="2:5" s="118" customFormat="1" ht="13.35" customHeight="1">
      <c r="B56" s="129" t="str">
        <f>A4.1.1!B13</f>
        <v>Electricity, gas and water</v>
      </c>
      <c r="C56" s="138">
        <f>A4.1.1!M13</f>
        <v>1111</v>
      </c>
      <c r="D56" s="132">
        <f>A4.1.1!N13</f>
        <v>1893</v>
      </c>
      <c r="E56" s="121"/>
    </row>
    <row r="57" spans="2:5" s="118" customFormat="1" ht="13.35" customHeight="1">
      <c r="B57" s="129" t="str">
        <f>A4.1.1!B30</f>
        <v>Specialised repair services</v>
      </c>
      <c r="C57" s="138">
        <f>A4.1.1!M30</f>
        <v>8493</v>
      </c>
      <c r="D57" s="132">
        <f>A4.1.1!N30</f>
        <v>1734</v>
      </c>
      <c r="E57" s="121"/>
    </row>
    <row r="58" spans="2:5" s="118" customFormat="1" ht="13.35" customHeight="1">
      <c r="B58" s="129" t="str">
        <f>A4.1.1!B21</f>
        <v>Other manufacturing industries</v>
      </c>
      <c r="C58" s="138">
        <f>A4.1.1!M21</f>
        <v>3266</v>
      </c>
      <c r="D58" s="132">
        <f>A4.1.1!N21</f>
        <v>1409</v>
      </c>
      <c r="E58" s="121"/>
    </row>
    <row r="59" spans="2:5" s="118" customFormat="1" ht="13.35" customHeight="1">
      <c r="B59" s="129" t="str">
        <f>A4.1.1!B24</f>
        <v>Public administration</v>
      </c>
      <c r="C59" s="138">
        <f>A4.1.1!M24</f>
        <v>644</v>
      </c>
      <c r="D59" s="132">
        <f>A4.1.1!N24</f>
        <v>1226</v>
      </c>
      <c r="E59" s="121"/>
    </row>
    <row r="60" spans="2:5" s="118" customFormat="1" ht="13.35" customHeight="1">
      <c r="B60" s="129" t="str">
        <f>A4.1.1!B31</f>
        <v>Textiles</v>
      </c>
      <c r="C60" s="138">
        <f>A4.1.1!M31</f>
        <v>1290</v>
      </c>
      <c r="D60" s="132">
        <f>A4.1.1!N31</f>
        <v>1013</v>
      </c>
      <c r="E60" s="121"/>
    </row>
    <row r="61" spans="2:5" s="118" customFormat="1" ht="13.35" customHeight="1">
      <c r="B61" s="129" t="str">
        <f>A4.1.1!B36</f>
        <v>Wood, wood products and furniture</v>
      </c>
      <c r="C61" s="138">
        <f>A4.1.1!M36</f>
        <v>2767</v>
      </c>
      <c r="D61" s="132">
        <f>A4.1.1!N36</f>
        <v>856</v>
      </c>
      <c r="E61" s="121"/>
    </row>
    <row r="62" spans="2:5" s="118" customFormat="1" ht="13.35" customHeight="1">
      <c r="B62" s="129" t="str">
        <f>A4.1.1!B9</f>
        <v>Clothing and footwear</v>
      </c>
      <c r="C62" s="138">
        <f>A4.1.1!M9</f>
        <v>1620</v>
      </c>
      <c r="D62" s="132">
        <f>A4.1.1!N9</f>
        <v>827</v>
      </c>
      <c r="E62" s="121"/>
    </row>
    <row r="63" spans="2:5" s="118" customFormat="1" ht="13.35" customHeight="1">
      <c r="B63" s="129" t="str">
        <f>A4.1.1!B6</f>
        <v>Bricks, ceramic, glass, cement and similar products</v>
      </c>
      <c r="C63" s="138">
        <f>A4.1.1!M6</f>
        <v>1874</v>
      </c>
      <c r="D63" s="132">
        <f>A4.1.1!N6</f>
        <v>718</v>
      </c>
      <c r="E63" s="121"/>
    </row>
    <row r="64" spans="2:5" s="118" customFormat="1" ht="13.35" customHeight="1">
      <c r="B64" s="129" t="str">
        <f>A4.1.1!B23</f>
        <v>Personal and household services</v>
      </c>
      <c r="C64" s="138">
        <f>A4.1.1!M23</f>
        <v>3670</v>
      </c>
      <c r="D64" s="132">
        <f>A4.1.1!N23</f>
        <v>680</v>
      </c>
      <c r="E64" s="121"/>
    </row>
    <row r="65" spans="2:5" s="118" customFormat="1" ht="13.35" customHeight="1">
      <c r="B65" s="129" t="str">
        <f>A4.1.1!B32</f>
        <v>Transport equipment</v>
      </c>
      <c r="C65" s="138">
        <f>A4.1.1!M32</f>
        <v>1086</v>
      </c>
      <c r="D65" s="132">
        <f>A4.1.1!N32</f>
        <v>532</v>
      </c>
      <c r="E65" s="121"/>
    </row>
    <row r="66" spans="2:5" s="118" customFormat="1" ht="13.35" customHeight="1">
      <c r="B66" s="129" t="str">
        <f>A4.1.1!B29</f>
        <v>Social and related community services</v>
      </c>
      <c r="C66" s="138">
        <f>A4.1.1!M29</f>
        <v>2549</v>
      </c>
      <c r="D66" s="132">
        <f>A4.1.1!N29</f>
        <v>453</v>
      </c>
      <c r="E66" s="121"/>
    </row>
    <row r="67" spans="2:5" s="118" customFormat="1" ht="13.35" customHeight="1">
      <c r="B67" s="129" t="str">
        <f>A4.1.1!B12</f>
        <v>Educational services</v>
      </c>
      <c r="C67" s="138">
        <f>A4.1.1!M12</f>
        <v>1847</v>
      </c>
      <c r="D67" s="132">
        <f>A4.1.1!N12</f>
        <v>442</v>
      </c>
      <c r="E67" s="121"/>
    </row>
    <row r="68" spans="2:5" s="118" customFormat="1" ht="13.35" customHeight="1">
      <c r="B68" s="129" t="str">
        <f>A4.1.1!B26</f>
        <v>Research and scientific institutes</v>
      </c>
      <c r="C68" s="138">
        <f>A4.1.1!M26</f>
        <v>603</v>
      </c>
      <c r="D68" s="132">
        <f>A4.1.1!N26</f>
        <v>431</v>
      </c>
      <c r="E68" s="121"/>
    </row>
    <row r="69" spans="2:5" s="118" customFormat="1" ht="13.35" customHeight="1">
      <c r="B69" s="129" t="str">
        <f>A4.1.1!B28</f>
        <v>Scientific, optical and similar equipment</v>
      </c>
      <c r="C69" s="138">
        <f>A4.1.1!M28</f>
        <v>734</v>
      </c>
      <c r="D69" s="132">
        <f>A4.1.1!N28</f>
        <v>417</v>
      </c>
      <c r="E69" s="121"/>
    </row>
    <row r="70" spans="2:5" s="118" customFormat="1" ht="13.35" customHeight="1">
      <c r="B70" s="129" t="str">
        <f>A4.1.1!B16</f>
        <v>Leather, leather goods and fur (excl. footwear and clothing)</v>
      </c>
      <c r="C70" s="138">
        <f>A4.1.1!M16</f>
        <v>330</v>
      </c>
      <c r="D70" s="132">
        <f>A4.1.1!N16</f>
        <v>106</v>
      </c>
      <c r="E70" s="121"/>
    </row>
    <row r="71" spans="2:5" s="118" customFormat="1" ht="13.35" customHeight="1">
      <c r="B71" s="129" t="str">
        <f>A4.1.1!B37</f>
        <v>Other1</v>
      </c>
      <c r="C71" s="138">
        <f>A4.1.1!M37</f>
        <v>30</v>
      </c>
      <c r="D71" s="132">
        <f>A4.1.1!N37</f>
        <v>7</v>
      </c>
      <c r="E71" s="121"/>
    </row>
    <row r="72" spans="2:5" s="118" customFormat="1" ht="13.35" customHeight="1">
      <c r="B72" s="149" t="str">
        <f>A4.1.1!B38</f>
        <v>Total</v>
      </c>
      <c r="C72" s="139">
        <f>A4.1.1!M38</f>
        <v>466050</v>
      </c>
      <c r="D72" s="133">
        <f>A4.1.1!N38</f>
        <v>205466</v>
      </c>
      <c r="E72" s="121"/>
    </row>
    <row r="73" spans="2:5" s="118" customFormat="1" ht="13.35" customHeight="1">
      <c r="B73" s="119"/>
      <c r="C73" s="119"/>
      <c r="D73" s="120"/>
      <c r="E73" s="121"/>
    </row>
  </sheetData>
  <sortState ref="B40:D72">
    <sortCondition descending="1" ref="D40:D72"/>
  </sortState>
  <pageMargins left="0.78740157480314965" right="0.78740157480314965" top="1.1811023622047245" bottom="1.1811023622047245" header="0.51181102362204722" footer="0.51181102362204722"/>
  <pageSetup paperSize="9" scale="9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E75"/>
  <sheetViews>
    <sheetView showGridLines="0" zoomScaleNormal="100" workbookViewId="0"/>
  </sheetViews>
  <sheetFormatPr defaultRowHeight="12.75"/>
  <cols>
    <col min="1" max="1" width="1.5703125" style="118" customWidth="1"/>
    <col min="2" max="2" width="43.5703125" style="119" bestFit="1" customWidth="1"/>
    <col min="3" max="3" width="12.28515625" style="119" customWidth="1"/>
    <col min="4" max="4" width="12.28515625" style="120" customWidth="1"/>
    <col min="5" max="5" width="9.140625" style="121"/>
    <col min="6" max="16384" width="9.140625" style="122"/>
  </cols>
  <sheetData>
    <row r="1" spans="1:4" s="118" customFormat="1" ht="13.35" customHeight="1">
      <c r="A1" s="115" t="s">
        <v>143</v>
      </c>
      <c r="B1" s="116"/>
      <c r="C1" s="116"/>
      <c r="D1" s="117"/>
    </row>
    <row r="2" spans="1:4" s="118" customFormat="1" ht="13.35" customHeight="1">
      <c r="A2" s="116"/>
      <c r="B2" s="116"/>
      <c r="C2" s="116"/>
      <c r="D2" s="116"/>
    </row>
    <row r="3" spans="1:4" s="118" customFormat="1" ht="13.35" customHeight="1">
      <c r="A3" s="116"/>
      <c r="B3" s="116"/>
      <c r="C3" s="116"/>
      <c r="D3" s="116"/>
    </row>
    <row r="4" spans="1:4" s="118" customFormat="1" ht="13.35" customHeight="1">
      <c r="A4" s="116"/>
      <c r="B4" s="116"/>
      <c r="C4" s="116"/>
      <c r="D4" s="116"/>
    </row>
    <row r="5" spans="1:4" s="118" customFormat="1" ht="13.35" customHeight="1">
      <c r="A5" s="116"/>
      <c r="B5" s="116"/>
      <c r="C5" s="116"/>
      <c r="D5" s="116"/>
    </row>
    <row r="6" spans="1:4" s="118" customFormat="1" ht="13.35" customHeight="1">
      <c r="A6" s="116"/>
      <c r="B6" s="116"/>
      <c r="C6" s="116"/>
      <c r="D6" s="116"/>
    </row>
    <row r="7" spans="1:4" s="118" customFormat="1" ht="13.35" customHeight="1">
      <c r="A7" s="116"/>
      <c r="B7" s="116"/>
      <c r="C7" s="116"/>
      <c r="D7" s="116"/>
    </row>
    <row r="8" spans="1:4" s="118" customFormat="1" ht="13.35" customHeight="1">
      <c r="A8" s="116"/>
      <c r="B8" s="116"/>
      <c r="C8" s="116"/>
      <c r="D8" s="116"/>
    </row>
    <row r="9" spans="1:4" s="118" customFormat="1" ht="13.35" customHeight="1">
      <c r="A9" s="116"/>
      <c r="B9" s="116"/>
      <c r="C9" s="116"/>
      <c r="D9" s="116"/>
    </row>
    <row r="10" spans="1:4" s="116" customFormat="1" ht="13.35" customHeight="1"/>
    <row r="11" spans="1:4" s="116" customFormat="1" ht="13.35" customHeight="1"/>
    <row r="12" spans="1:4" s="116" customFormat="1" ht="13.35" customHeight="1"/>
    <row r="13" spans="1:4" s="116" customFormat="1" ht="13.35" customHeight="1"/>
    <row r="14" spans="1:4" s="116" customFormat="1" ht="13.35" customHeight="1"/>
    <row r="15" spans="1:4" s="118" customFormat="1" ht="13.35" customHeight="1">
      <c r="A15" s="116"/>
      <c r="B15" s="116"/>
      <c r="C15" s="116"/>
      <c r="D15" s="116"/>
    </row>
    <row r="16" spans="1:4" s="118" customFormat="1" ht="13.35" customHeight="1">
      <c r="A16" s="116"/>
      <c r="B16" s="116"/>
      <c r="C16" s="116"/>
      <c r="D16" s="116"/>
    </row>
    <row r="17" spans="1:5" s="118" customFormat="1" ht="13.35" customHeight="1">
      <c r="A17" s="116"/>
      <c r="B17" s="116"/>
      <c r="C17" s="116"/>
      <c r="D17" s="116"/>
    </row>
    <row r="18" spans="1:5" s="118" customFormat="1" ht="13.35" customHeight="1">
      <c r="A18" s="116"/>
      <c r="B18" s="116"/>
      <c r="C18" s="116"/>
      <c r="D18" s="116"/>
    </row>
    <row r="19" spans="1:5" s="118" customFormat="1" ht="13.35" customHeight="1">
      <c r="A19" s="116"/>
      <c r="B19" s="116"/>
      <c r="C19" s="116"/>
      <c r="D19" s="116"/>
    </row>
    <row r="20" spans="1:5" s="118" customFormat="1" ht="13.35" customHeight="1">
      <c r="A20" s="116"/>
      <c r="B20" s="116"/>
      <c r="C20" s="116"/>
      <c r="D20" s="116"/>
    </row>
    <row r="21" spans="1:5" s="118" customFormat="1" ht="13.35" customHeight="1">
      <c r="A21" s="116"/>
      <c r="B21" s="116"/>
      <c r="C21" s="116"/>
      <c r="D21" s="116"/>
    </row>
    <row r="22" spans="1:5" s="118" customFormat="1" ht="13.35" customHeight="1">
      <c r="A22" s="115"/>
      <c r="B22" s="116"/>
      <c r="C22" s="116"/>
      <c r="D22" s="116"/>
    </row>
    <row r="23" spans="1:5" s="118" customFormat="1" ht="13.35" customHeight="1"/>
    <row r="24" spans="1:5" s="118" customFormat="1" ht="13.35" customHeight="1">
      <c r="B24" s="149" t="s">
        <v>138</v>
      </c>
      <c r="C24" s="131" t="s">
        <v>110</v>
      </c>
      <c r="D24" s="136" t="s">
        <v>110</v>
      </c>
    </row>
    <row r="25" spans="1:5" s="118" customFormat="1" ht="22.5">
      <c r="B25" s="128"/>
      <c r="C25" s="137" t="s">
        <v>5</v>
      </c>
      <c r="D25" s="62" t="s">
        <v>40</v>
      </c>
    </row>
    <row r="26" spans="1:5" s="118" customFormat="1" ht="13.35" customHeight="1">
      <c r="B26" s="129" t="str">
        <f t="shared" ref="B26:C26" si="0">B39</f>
        <v>Mining and quarrying</v>
      </c>
      <c r="C26" s="138">
        <f t="shared" si="0"/>
        <v>2507</v>
      </c>
      <c r="D26" s="132">
        <f>-D39</f>
        <v>22410</v>
      </c>
    </row>
    <row r="27" spans="1:5" s="118" customFormat="1" ht="13.35" customHeight="1">
      <c r="B27" s="129" t="s">
        <v>132</v>
      </c>
      <c r="C27" s="138">
        <f t="shared" ref="C27" si="1">C40</f>
        <v>157447</v>
      </c>
      <c r="D27" s="132">
        <f t="shared" ref="D27:D32" si="2">-D40</f>
        <v>14791</v>
      </c>
    </row>
    <row r="28" spans="1:5" s="118" customFormat="1" ht="13.35" customHeight="1">
      <c r="B28" s="129" t="str">
        <f t="shared" ref="B28:C28" si="3">B41</f>
        <v>Agriculture, forestry and fishing</v>
      </c>
      <c r="C28" s="138">
        <f t="shared" si="3"/>
        <v>61910</v>
      </c>
      <c r="D28" s="132">
        <f t="shared" si="2"/>
        <v>8546</v>
      </c>
    </row>
    <row r="29" spans="1:5" s="121" customFormat="1" ht="13.35" customHeight="1">
      <c r="A29" s="118"/>
      <c r="B29" s="129" t="str">
        <f t="shared" ref="B29:C29" si="4">B42</f>
        <v>Vehicles, parts and accessories</v>
      </c>
      <c r="C29" s="138">
        <f t="shared" si="4"/>
        <v>4744</v>
      </c>
      <c r="D29" s="132">
        <f t="shared" si="2"/>
        <v>7643</v>
      </c>
    </row>
    <row r="30" spans="1:5" s="118" customFormat="1" ht="13.35" customHeight="1">
      <c r="B30" s="129" t="str">
        <f t="shared" ref="B30:C30" si="5">B43</f>
        <v>Agencies and other services</v>
      </c>
      <c r="C30" s="138">
        <f t="shared" si="5"/>
        <v>32679</v>
      </c>
      <c r="D30" s="132">
        <f t="shared" si="2"/>
        <v>7413</v>
      </c>
      <c r="E30" s="121"/>
    </row>
    <row r="31" spans="1:5" s="118" customFormat="1" ht="13.35" customHeight="1">
      <c r="B31" s="129" t="str">
        <f t="shared" ref="B31:C31" si="6">B44</f>
        <v>Wholesale trade</v>
      </c>
      <c r="C31" s="138">
        <f t="shared" si="6"/>
        <v>23083</v>
      </c>
      <c r="D31" s="132">
        <f t="shared" si="2"/>
        <v>5066</v>
      </c>
      <c r="E31" s="121"/>
    </row>
    <row r="32" spans="1:5" s="118" customFormat="1" ht="13.35" customHeight="1">
      <c r="B32" s="129" t="s">
        <v>134</v>
      </c>
      <c r="C32" s="138">
        <f t="shared" ref="C32" si="7">C45</f>
        <v>13749</v>
      </c>
      <c r="D32" s="132">
        <f t="shared" si="2"/>
        <v>4672</v>
      </c>
      <c r="E32" s="121"/>
    </row>
    <row r="33" spans="2:5" s="118" customFormat="1" ht="13.35" customHeight="1">
      <c r="B33" s="129" t="s">
        <v>173</v>
      </c>
      <c r="C33" s="138">
        <f t="shared" ref="C33" si="8">C73-SUM(C26:C32)</f>
        <v>169931</v>
      </c>
      <c r="D33" s="132">
        <f>-D73-SUM(D26:D32)</f>
        <v>32586</v>
      </c>
      <c r="E33" s="121"/>
    </row>
    <row r="34" spans="2:5" s="118" customFormat="1" ht="13.35" customHeight="1">
      <c r="B34" s="130" t="s">
        <v>0</v>
      </c>
      <c r="C34" s="139">
        <f t="shared" ref="C34:D34" si="9">SUM(C26:C33)</f>
        <v>466050</v>
      </c>
      <c r="D34" s="133">
        <f t="shared" si="9"/>
        <v>103127</v>
      </c>
      <c r="E34" s="121"/>
    </row>
    <row r="35" spans="2:5" s="118" customFormat="1" ht="13.35" customHeight="1">
      <c r="B35" s="119"/>
      <c r="E35" s="121"/>
    </row>
    <row r="36" spans="2:5" s="118" customFormat="1" ht="13.35" customHeight="1">
      <c r="B36" s="119"/>
      <c r="C36" s="119"/>
      <c r="D36" s="120"/>
      <c r="E36" s="121"/>
    </row>
    <row r="37" spans="2:5" s="118" customFormat="1" ht="13.35" customHeight="1">
      <c r="B37" s="119"/>
      <c r="C37" s="119"/>
      <c r="D37" s="120"/>
      <c r="E37" s="121"/>
    </row>
    <row r="38" spans="2:5" s="118" customFormat="1" ht="22.5">
      <c r="B38" s="130"/>
      <c r="C38" s="150" t="s">
        <v>5</v>
      </c>
      <c r="D38" s="151" t="s">
        <v>40</v>
      </c>
    </row>
    <row r="39" spans="2:5" s="118" customFormat="1" ht="13.35" customHeight="1">
      <c r="B39" s="13" t="str">
        <f>A4.1.1!B20</f>
        <v>Mining and quarrying</v>
      </c>
      <c r="C39" s="15">
        <f>A4.1.1!M20</f>
        <v>2507</v>
      </c>
      <c r="D39" s="142">
        <f>A4.1.1!O20</f>
        <v>-22410</v>
      </c>
    </row>
    <row r="40" spans="2:5" s="118" customFormat="1" ht="13.35" customHeight="1">
      <c r="B40" s="13" t="str">
        <f>A4.1.1!B14</f>
        <v>Financing, insurance, real estate and business services</v>
      </c>
      <c r="C40" s="15">
        <f>A4.1.1!M14</f>
        <v>157447</v>
      </c>
      <c r="D40" s="142">
        <f>A4.1.1!O14</f>
        <v>-14791</v>
      </c>
    </row>
    <row r="41" spans="2:5" s="118" customFormat="1" ht="13.35" customHeight="1">
      <c r="B41" s="13" t="str">
        <f>A4.1.1!B5</f>
        <v>Agriculture, forestry and fishing</v>
      </c>
      <c r="C41" s="15">
        <f>A4.1.1!M5</f>
        <v>61910</v>
      </c>
      <c r="D41" s="142">
        <f>A4.1.1!O5</f>
        <v>-8546</v>
      </c>
    </row>
    <row r="42" spans="2:5" s="118" customFormat="1" ht="13.35" customHeight="1">
      <c r="B42" s="13" t="str">
        <f>A4.1.1!B34</f>
        <v>Vehicles, parts and accessories</v>
      </c>
      <c r="C42" s="15">
        <f>A4.1.1!M34</f>
        <v>4744</v>
      </c>
      <c r="D42" s="142">
        <f>A4.1.1!O34</f>
        <v>-7643</v>
      </c>
    </row>
    <row r="43" spans="2:5" s="118" customFormat="1" ht="13.35" customHeight="1">
      <c r="B43" s="13" t="str">
        <f>A4.1.1!B4</f>
        <v>Agencies and other services</v>
      </c>
      <c r="C43" s="15">
        <f>A4.1.1!M4</f>
        <v>32679</v>
      </c>
      <c r="D43" s="142">
        <f>A4.1.1!O4</f>
        <v>-7413</v>
      </c>
    </row>
    <row r="44" spans="2:5" s="118" customFormat="1" ht="13.35" customHeight="1">
      <c r="B44" s="13" t="str">
        <f>A4.1.1!B35</f>
        <v>Wholesale trade</v>
      </c>
      <c r="C44" s="15">
        <f>A4.1.1!M35</f>
        <v>23083</v>
      </c>
      <c r="D44" s="142">
        <f>A4.1.1!O35</f>
        <v>-5066</v>
      </c>
    </row>
    <row r="45" spans="2:5" s="118" customFormat="1" ht="13.35" customHeight="1">
      <c r="B45" s="13" t="str">
        <f>A4.1.1!B33</f>
        <v>Transport, storage and communications</v>
      </c>
      <c r="C45" s="15">
        <f>A4.1.1!M33</f>
        <v>13749</v>
      </c>
      <c r="D45" s="142">
        <f>A4.1.1!O33</f>
        <v>-4672</v>
      </c>
    </row>
    <row r="46" spans="2:5" s="118" customFormat="1" ht="13.35" customHeight="1">
      <c r="B46" s="13" t="str">
        <f>A4.1.1!B24</f>
        <v>Public administration</v>
      </c>
      <c r="C46" s="15">
        <f>A4.1.1!M24</f>
        <v>644</v>
      </c>
      <c r="D46" s="142">
        <f>A4.1.1!O24</f>
        <v>-4597</v>
      </c>
    </row>
    <row r="47" spans="2:5" s="118" customFormat="1" ht="13.35" customHeight="1">
      <c r="B47" s="13" t="str">
        <f>A4.1.1!B19</f>
        <v>Metal (including metal products)</v>
      </c>
      <c r="C47" s="15">
        <f>A4.1.1!M19</f>
        <v>7126</v>
      </c>
      <c r="D47" s="142">
        <f>A4.1.1!O19</f>
        <v>-4589</v>
      </c>
    </row>
    <row r="48" spans="2:5" s="118" customFormat="1" ht="13.35" customHeight="1">
      <c r="B48" s="13" t="str">
        <f>A4.1.1!B10</f>
        <v>Coal and petroleum products</v>
      </c>
      <c r="C48" s="15">
        <f>A4.1.1!M10</f>
        <v>774</v>
      </c>
      <c r="D48" s="142">
        <f>A4.1.1!O10</f>
        <v>-3881</v>
      </c>
    </row>
    <row r="49" spans="2:4" s="118" customFormat="1" ht="13.35" customHeight="1">
      <c r="B49" s="13" t="str">
        <f>A4.1.1!B27</f>
        <v>Retail trade</v>
      </c>
      <c r="C49" s="15">
        <f>A4.1.1!M27</f>
        <v>45609</v>
      </c>
      <c r="D49" s="142">
        <f>A4.1.1!O27</f>
        <v>-3844</v>
      </c>
    </row>
    <row r="50" spans="2:4" s="118" customFormat="1" ht="13.35" customHeight="1">
      <c r="B50" s="13" t="str">
        <f>A4.1.1!B11</f>
        <v>Construction</v>
      </c>
      <c r="C50" s="15">
        <f>A4.1.1!M11</f>
        <v>31527</v>
      </c>
      <c r="D50" s="142">
        <f>A4.1.1!O11</f>
        <v>-2970</v>
      </c>
    </row>
    <row r="51" spans="2:4" s="118" customFormat="1" ht="13.35" customHeight="1">
      <c r="B51" s="13" t="str">
        <f>A4.1.1!B15</f>
        <v>Food, drink and tobacco</v>
      </c>
      <c r="C51" s="15">
        <f>A4.1.1!M15</f>
        <v>3674</v>
      </c>
      <c r="D51" s="142">
        <f>A4.1.1!O15</f>
        <v>-2743</v>
      </c>
    </row>
    <row r="52" spans="2:4" s="118" customFormat="1" ht="13.35" customHeight="1">
      <c r="B52" s="13" t="str">
        <f>A4.1.1!B8</f>
        <v>Chemicals and chemical, rubber and plastic products</v>
      </c>
      <c r="C52" s="15">
        <f>A4.1.1!M8</f>
        <v>3906</v>
      </c>
      <c r="D52" s="142">
        <f>A4.1.1!O8</f>
        <v>-2056</v>
      </c>
    </row>
    <row r="53" spans="2:4" s="118" customFormat="1" ht="13.35" customHeight="1">
      <c r="B53" s="13" t="str">
        <f>A4.1.1!B17</f>
        <v>Machinery and related items</v>
      </c>
      <c r="C53" s="15">
        <f>A4.1.1!M17</f>
        <v>8239</v>
      </c>
      <c r="D53" s="142">
        <f>A4.1.1!O17</f>
        <v>-1748</v>
      </c>
    </row>
    <row r="54" spans="2:4" s="118" customFormat="1" ht="13.35" customHeight="1">
      <c r="B54" s="13" t="str">
        <f>A4.1.1!B21</f>
        <v>Other manufacturing industries</v>
      </c>
      <c r="C54" s="15">
        <f>A4.1.1!M21</f>
        <v>3266</v>
      </c>
      <c r="D54" s="142">
        <f>A4.1.1!O21</f>
        <v>-1296</v>
      </c>
    </row>
    <row r="55" spans="2:4" s="118" customFormat="1" ht="13.35" customHeight="1">
      <c r="B55" s="13" t="str">
        <f>A4.1.1!B25</f>
        <v>Recreation and cultural services</v>
      </c>
      <c r="C55" s="15">
        <f>A4.1.1!M25</f>
        <v>3532</v>
      </c>
      <c r="D55" s="142">
        <f>A4.1.1!O25</f>
        <v>-704</v>
      </c>
    </row>
    <row r="56" spans="2:4" s="118" customFormat="1" ht="13.35" customHeight="1">
      <c r="B56" s="13" t="str">
        <f>A4.1.1!B22</f>
        <v>Paper, printing and publishing</v>
      </c>
      <c r="C56" s="15">
        <f>A4.1.1!M22</f>
        <v>3893</v>
      </c>
      <c r="D56" s="142">
        <f>A4.1.1!O22</f>
        <v>-658</v>
      </c>
    </row>
    <row r="57" spans="2:4" s="118" customFormat="1" ht="13.35" customHeight="1">
      <c r="B57" s="13" t="str">
        <f>A4.1.1!B7</f>
        <v>Catering and accommodation</v>
      </c>
      <c r="C57" s="15">
        <f>A4.1.1!M7</f>
        <v>14672</v>
      </c>
      <c r="D57" s="142">
        <f>A4.1.1!O7</f>
        <v>-493</v>
      </c>
    </row>
    <row r="58" spans="2:4" s="118" customFormat="1" ht="13.35" customHeight="1">
      <c r="B58" s="13" t="str">
        <f>A4.1.1!B29</f>
        <v>Social and related community services</v>
      </c>
      <c r="C58" s="15">
        <f>A4.1.1!M29</f>
        <v>2549</v>
      </c>
      <c r="D58" s="142">
        <f>A4.1.1!O29</f>
        <v>-435</v>
      </c>
    </row>
    <row r="59" spans="2:4" s="118" customFormat="1" ht="13.35" customHeight="1">
      <c r="B59" s="13" t="str">
        <f>A4.1.1!B13</f>
        <v>Electricity, gas and water</v>
      </c>
      <c r="C59" s="15">
        <f>A4.1.1!M13</f>
        <v>1111</v>
      </c>
      <c r="D59" s="142">
        <f>A4.1.1!O13</f>
        <v>-432</v>
      </c>
    </row>
    <row r="60" spans="2:4" s="118" customFormat="1" ht="13.35" customHeight="1">
      <c r="B60" s="13" t="str">
        <f>A4.1.1!B30</f>
        <v>Specialised repair services</v>
      </c>
      <c r="C60" s="15">
        <f>A4.1.1!M30</f>
        <v>8493</v>
      </c>
      <c r="D60" s="142">
        <f>A4.1.1!O30</f>
        <v>-362</v>
      </c>
    </row>
    <row r="61" spans="2:4" s="118" customFormat="1" ht="13.35" customHeight="1">
      <c r="B61" s="13" t="str">
        <f>A4.1.1!B32</f>
        <v>Transport equipment</v>
      </c>
      <c r="C61" s="15">
        <f>A4.1.1!M32</f>
        <v>1086</v>
      </c>
      <c r="D61" s="142">
        <f>A4.1.1!O32</f>
        <v>-292</v>
      </c>
    </row>
    <row r="62" spans="2:4" s="118" customFormat="1" ht="13.35" customHeight="1">
      <c r="B62" s="13" t="str">
        <f>A4.1.1!B6</f>
        <v>Bricks, ceramic, glass, cement and similar products</v>
      </c>
      <c r="C62" s="15">
        <f>A4.1.1!M6</f>
        <v>1874</v>
      </c>
      <c r="D62" s="142">
        <f>A4.1.1!O6</f>
        <v>-283</v>
      </c>
    </row>
    <row r="63" spans="2:4" s="118" customFormat="1" ht="13.35" customHeight="1">
      <c r="B63" s="13" t="str">
        <f>A4.1.1!B18</f>
        <v>Medical, dental and other health and veterinary services</v>
      </c>
      <c r="C63" s="15">
        <f>A4.1.1!M18</f>
        <v>15065</v>
      </c>
      <c r="D63" s="142">
        <f>A4.1.1!O18</f>
        <v>-272</v>
      </c>
    </row>
    <row r="64" spans="2:4" s="118" customFormat="1" ht="13.35" customHeight="1">
      <c r="B64" s="13" t="str">
        <f>A4.1.1!B12</f>
        <v>Educational services</v>
      </c>
      <c r="C64" s="15">
        <f>A4.1.1!M12</f>
        <v>1847</v>
      </c>
      <c r="D64" s="142">
        <f>A4.1.1!O12</f>
        <v>-212</v>
      </c>
    </row>
    <row r="65" spans="2:5" s="118" customFormat="1" ht="13.35" customHeight="1">
      <c r="B65" s="13" t="str">
        <f>A4.1.1!B31</f>
        <v>Textiles</v>
      </c>
      <c r="C65" s="15">
        <f>A4.1.1!M31</f>
        <v>1290</v>
      </c>
      <c r="D65" s="142">
        <f>A4.1.1!O31</f>
        <v>-183</v>
      </c>
    </row>
    <row r="66" spans="2:5" s="118" customFormat="1" ht="13.35" customHeight="1">
      <c r="B66" s="13" t="str">
        <f>A4.1.1!B36</f>
        <v>Wood, wood products and furniture</v>
      </c>
      <c r="C66" s="15">
        <f>A4.1.1!M36</f>
        <v>2767</v>
      </c>
      <c r="D66" s="142">
        <f>A4.1.1!O36</f>
        <v>-141</v>
      </c>
    </row>
    <row r="67" spans="2:5" s="118" customFormat="1" ht="13.35" customHeight="1">
      <c r="B67" s="13" t="str">
        <f>A4.1.1!B26</f>
        <v>Research and scientific institutes</v>
      </c>
      <c r="C67" s="15">
        <f>A4.1.1!M26</f>
        <v>603</v>
      </c>
      <c r="D67" s="142">
        <f>A4.1.1!O26</f>
        <v>-100</v>
      </c>
    </row>
    <row r="68" spans="2:5" s="118" customFormat="1" ht="13.35" customHeight="1">
      <c r="B68" s="13" t="str">
        <f>A4.1.1!B28</f>
        <v>Scientific, optical and similar equipment</v>
      </c>
      <c r="C68" s="15">
        <f>A4.1.1!M28</f>
        <v>734</v>
      </c>
      <c r="D68" s="142">
        <f>A4.1.1!O28</f>
        <v>-96</v>
      </c>
    </row>
    <row r="69" spans="2:5" s="118" customFormat="1" ht="13.35" customHeight="1">
      <c r="B69" s="13" t="str">
        <f>A4.1.1!B9</f>
        <v>Clothing and footwear</v>
      </c>
      <c r="C69" s="15">
        <f>A4.1.1!M9</f>
        <v>1620</v>
      </c>
      <c r="D69" s="142">
        <f>A4.1.1!O9</f>
        <v>-89</v>
      </c>
    </row>
    <row r="70" spans="2:5" s="118" customFormat="1" ht="13.35" customHeight="1">
      <c r="B70" s="13" t="str">
        <f>A4.1.1!B16</f>
        <v>Leather, leather goods and fur (excl. footwear and clothing)</v>
      </c>
      <c r="C70" s="15">
        <f>A4.1.1!M16</f>
        <v>330</v>
      </c>
      <c r="D70" s="142">
        <f>A4.1.1!O16</f>
        <v>-67</v>
      </c>
    </row>
    <row r="71" spans="2:5" s="118" customFormat="1" ht="13.35" customHeight="1">
      <c r="B71" s="13" t="str">
        <f>A4.1.1!B23</f>
        <v>Personal and household services</v>
      </c>
      <c r="C71" s="15">
        <f>A4.1.1!M23</f>
        <v>3670</v>
      </c>
      <c r="D71" s="142">
        <f>A4.1.1!O23</f>
        <v>-43</v>
      </c>
    </row>
    <row r="72" spans="2:5" s="118" customFormat="1" ht="13.35" customHeight="1">
      <c r="B72" s="13" t="str">
        <f>A4.1.1!B37</f>
        <v>Other1</v>
      </c>
      <c r="C72" s="15">
        <f>A4.1.1!M37</f>
        <v>30</v>
      </c>
      <c r="D72" s="142">
        <f>A4.1.1!O37</f>
        <v>0</v>
      </c>
    </row>
    <row r="73" spans="2:5" s="118" customFormat="1" ht="13.35" customHeight="1">
      <c r="B73" s="152" t="str">
        <f>A4.1.1!B38</f>
        <v>Total</v>
      </c>
      <c r="C73" s="153">
        <f>A4.1.1!M38</f>
        <v>466050</v>
      </c>
      <c r="D73" s="154">
        <f>A4.1.1!O38</f>
        <v>-103127</v>
      </c>
    </row>
    <row r="74" spans="2:5" s="118" customFormat="1" ht="13.35" customHeight="1">
      <c r="B74" s="119"/>
      <c r="C74" s="119"/>
      <c r="D74" s="120"/>
      <c r="E74" s="121"/>
    </row>
    <row r="75" spans="2:5" s="118" customFormat="1" ht="13.35" customHeight="1">
      <c r="B75" s="119"/>
      <c r="C75" s="119"/>
      <c r="D75" s="120"/>
      <c r="E75" s="121"/>
    </row>
  </sheetData>
  <sortState ref="B41:D73">
    <sortCondition ref="D41:D73"/>
  </sortState>
  <pageMargins left="0.78740157480314965" right="0.78740157480314965" top="1.1811023622047245" bottom="1.1811023622047245" header="0.51181102362204722" footer="0.51181102362204722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43"/>
  <sheetViews>
    <sheetView showGridLines="0" zoomScaleNormal="100" workbookViewId="0"/>
  </sheetViews>
  <sheetFormatPr defaultRowHeight="12.75"/>
  <cols>
    <col min="1" max="1" width="1.5703125" style="118" customWidth="1"/>
    <col min="2" max="2" width="15.85546875" style="119" customWidth="1"/>
    <col min="3" max="4" width="12.28515625" style="119" customWidth="1"/>
    <col min="5" max="5" width="12.28515625" style="120" customWidth="1"/>
    <col min="6" max="6" width="10.7109375" style="121" customWidth="1"/>
    <col min="7" max="7" width="9.140625" style="121"/>
    <col min="8" max="16384" width="9.140625" style="122"/>
  </cols>
  <sheetData>
    <row r="1" spans="1:5" s="118" customFormat="1" ht="13.35" customHeight="1">
      <c r="A1" s="115" t="s">
        <v>145</v>
      </c>
      <c r="B1" s="116"/>
      <c r="C1" s="116"/>
      <c r="D1" s="116"/>
      <c r="E1" s="117"/>
    </row>
    <row r="2" spans="1:5" s="118" customFormat="1" ht="13.35" customHeight="1">
      <c r="A2" s="116"/>
      <c r="B2" s="116"/>
      <c r="C2" s="116"/>
      <c r="D2" s="116"/>
      <c r="E2" s="116"/>
    </row>
    <row r="3" spans="1:5" s="118" customFormat="1" ht="13.35" customHeight="1">
      <c r="A3" s="116"/>
      <c r="B3" s="116"/>
      <c r="C3" s="116"/>
      <c r="D3" s="116"/>
      <c r="E3" s="116"/>
    </row>
    <row r="4" spans="1:5" s="118" customFormat="1" ht="13.35" customHeight="1">
      <c r="A4" s="116"/>
      <c r="B4" s="116"/>
      <c r="C4" s="116"/>
      <c r="D4" s="116"/>
      <c r="E4" s="116"/>
    </row>
    <row r="5" spans="1:5" s="118" customFormat="1" ht="13.35" customHeight="1">
      <c r="A5" s="116"/>
      <c r="B5" s="116"/>
      <c r="C5" s="116"/>
      <c r="D5" s="116"/>
      <c r="E5" s="116"/>
    </row>
    <row r="6" spans="1:5" s="118" customFormat="1" ht="13.35" customHeight="1">
      <c r="A6" s="116"/>
      <c r="B6" s="116"/>
      <c r="C6" s="116"/>
      <c r="D6" s="116"/>
      <c r="E6" s="116"/>
    </row>
    <row r="7" spans="1:5" s="118" customFormat="1" ht="13.35" customHeight="1">
      <c r="A7" s="116"/>
      <c r="B7" s="116"/>
      <c r="C7" s="116"/>
      <c r="D7" s="116"/>
      <c r="E7" s="116"/>
    </row>
    <row r="8" spans="1:5" s="118" customFormat="1" ht="13.35" customHeight="1">
      <c r="A8" s="116"/>
      <c r="B8" s="116"/>
      <c r="C8" s="116"/>
      <c r="D8" s="116"/>
      <c r="E8" s="116"/>
    </row>
    <row r="9" spans="1:5" s="118" customFormat="1" ht="13.35" customHeight="1">
      <c r="A9" s="116"/>
      <c r="B9" s="116"/>
      <c r="C9" s="116"/>
      <c r="D9" s="116"/>
      <c r="E9" s="116"/>
    </row>
    <row r="10" spans="1:5" s="116" customFormat="1" ht="13.35" customHeight="1"/>
    <row r="11" spans="1:5" s="116" customFormat="1" ht="13.35" customHeight="1"/>
    <row r="12" spans="1:5" s="116" customFormat="1" ht="13.35" customHeight="1"/>
    <row r="13" spans="1:5" s="116" customFormat="1" ht="13.35" customHeight="1"/>
    <row r="14" spans="1:5" s="116" customFormat="1" ht="13.35" customHeight="1"/>
    <row r="15" spans="1:5" s="118" customFormat="1" ht="13.35" customHeight="1">
      <c r="A15" s="116"/>
      <c r="B15" s="116"/>
      <c r="C15" s="116"/>
      <c r="D15" s="116"/>
      <c r="E15" s="116"/>
    </row>
    <row r="16" spans="1:5" s="118" customFormat="1" ht="13.35" customHeight="1">
      <c r="A16" s="116"/>
      <c r="B16" s="116"/>
      <c r="C16" s="116"/>
      <c r="D16" s="116"/>
      <c r="E16" s="116"/>
    </row>
    <row r="17" spans="1:6" s="118" customFormat="1" ht="13.35" customHeight="1">
      <c r="A17" s="116"/>
      <c r="B17" s="116"/>
      <c r="C17" s="116"/>
      <c r="D17" s="116"/>
      <c r="E17" s="116"/>
    </row>
    <row r="18" spans="1:6" s="118" customFormat="1" ht="13.35" customHeight="1">
      <c r="A18" s="116"/>
      <c r="B18" s="116"/>
      <c r="C18" s="116"/>
      <c r="D18" s="116"/>
      <c r="E18" s="116"/>
    </row>
    <row r="19" spans="1:6" s="118" customFormat="1" ht="13.35" customHeight="1">
      <c r="A19" s="116"/>
      <c r="B19" s="116"/>
      <c r="C19" s="116"/>
      <c r="D19" s="116"/>
      <c r="E19" s="116"/>
    </row>
    <row r="20" spans="1:6" s="118" customFormat="1" ht="13.35" customHeight="1">
      <c r="A20" s="116"/>
      <c r="B20" s="116"/>
      <c r="C20" s="116"/>
      <c r="D20" s="116"/>
      <c r="E20" s="116"/>
    </row>
    <row r="21" spans="1:6" s="118" customFormat="1" ht="13.35" customHeight="1">
      <c r="A21" s="116"/>
      <c r="B21" s="116"/>
      <c r="C21" s="116"/>
      <c r="D21" s="116"/>
      <c r="E21" s="116"/>
    </row>
    <row r="22" spans="1:6" s="118" customFormat="1" ht="13.35" customHeight="1">
      <c r="A22" s="115"/>
      <c r="B22" s="116"/>
      <c r="C22" s="116"/>
      <c r="D22" s="116"/>
      <c r="E22" s="116"/>
    </row>
    <row r="23" spans="1:6" s="118" customFormat="1" ht="13.35" customHeight="1">
      <c r="A23" s="116"/>
      <c r="B23" s="116"/>
      <c r="C23" s="116"/>
      <c r="D23" s="116"/>
      <c r="E23" s="116"/>
    </row>
    <row r="24" spans="1:6" s="118" customFormat="1" ht="13.35" customHeight="1"/>
    <row r="25" spans="1:6" s="118" customFormat="1" ht="13.35" customHeight="1"/>
    <row r="26" spans="1:6" s="118" customFormat="1" ht="13.35" customHeight="1">
      <c r="A26" s="149" t="s">
        <v>141</v>
      </c>
      <c r="B26" s="163"/>
      <c r="C26" s="164" t="s">
        <v>38</v>
      </c>
      <c r="D26" s="165" t="s">
        <v>102</v>
      </c>
      <c r="E26" s="165" t="s">
        <v>106</v>
      </c>
      <c r="F26" s="166" t="s">
        <v>110</v>
      </c>
    </row>
    <row r="27" spans="1:6" s="118" customFormat="1" ht="22.5">
      <c r="A27" s="236" t="s">
        <v>109</v>
      </c>
      <c r="B27" s="237"/>
      <c r="C27" s="60" t="s">
        <v>5</v>
      </c>
      <c r="D27" s="60" t="s">
        <v>5</v>
      </c>
      <c r="E27" s="60" t="s">
        <v>5</v>
      </c>
      <c r="F27" s="140" t="s">
        <v>5</v>
      </c>
    </row>
    <row r="28" spans="1:6" ht="13.35" customHeight="1">
      <c r="A28" s="141"/>
      <c r="B28" s="14" t="s">
        <v>35</v>
      </c>
      <c r="C28" s="15">
        <f>A4.2.1!D4</f>
        <v>196131</v>
      </c>
      <c r="D28" s="15">
        <f>A4.2.1!G4</f>
        <v>198611</v>
      </c>
      <c r="E28" s="15">
        <f>A4.2.1!J4</f>
        <v>183599</v>
      </c>
      <c r="F28" s="142">
        <f>A4.2.1!M4</f>
        <v>172950</v>
      </c>
    </row>
    <row r="29" spans="1:6" ht="13.35" customHeight="1">
      <c r="A29" s="141"/>
      <c r="B29" s="14" t="s">
        <v>36</v>
      </c>
      <c r="C29" s="15">
        <f>A4.2.1!D5</f>
        <v>265875</v>
      </c>
      <c r="D29" s="15">
        <f>A4.2.1!G5</f>
        <v>267210</v>
      </c>
      <c r="E29" s="15">
        <f>A4.2.1!J5</f>
        <v>247767</v>
      </c>
      <c r="F29" s="142">
        <f>A4.2.1!M5</f>
        <v>233360</v>
      </c>
    </row>
    <row r="30" spans="1:6" ht="13.35" customHeight="1">
      <c r="A30" s="143"/>
      <c r="B30" s="14" t="s">
        <v>34</v>
      </c>
      <c r="C30" s="15">
        <f>A4.2.1!D6</f>
        <v>41708</v>
      </c>
      <c r="D30" s="15">
        <f>A4.2.1!G6</f>
        <v>42237</v>
      </c>
      <c r="E30" s="15">
        <f>A4.2.1!J6</f>
        <v>41322</v>
      </c>
      <c r="F30" s="142">
        <f>A4.2.1!M6</f>
        <v>40442</v>
      </c>
    </row>
    <row r="31" spans="1:6" ht="13.35" customHeight="1">
      <c r="A31" s="143"/>
      <c r="B31" s="14" t="s">
        <v>174</v>
      </c>
      <c r="C31" s="15">
        <f t="shared" ref="C31:F31" si="0">SUM(C32:C34)</f>
        <v>22857</v>
      </c>
      <c r="D31" s="15">
        <f t="shared" si="0"/>
        <v>22284</v>
      </c>
      <c r="E31" s="15">
        <f t="shared" si="0"/>
        <v>20395</v>
      </c>
      <c r="F31" s="142">
        <f t="shared" si="0"/>
        <v>19298</v>
      </c>
    </row>
    <row r="32" spans="1:6" ht="13.35" customHeight="1">
      <c r="A32" s="141"/>
      <c r="B32" s="214" t="s">
        <v>105</v>
      </c>
      <c r="C32" s="215">
        <f>A4.2.1!D7</f>
        <v>20421</v>
      </c>
      <c r="D32" s="215">
        <f>A4.2.1!G7</f>
        <v>19777</v>
      </c>
      <c r="E32" s="215">
        <f>A4.2.1!J7</f>
        <v>18049</v>
      </c>
      <c r="F32" s="216">
        <f>A4.2.1!M7</f>
        <v>17111</v>
      </c>
    </row>
    <row r="33" spans="1:6" ht="13.35" customHeight="1">
      <c r="A33" s="141"/>
      <c r="B33" s="217" t="s">
        <v>37</v>
      </c>
      <c r="C33" s="209">
        <f>A4.2.1!D8</f>
        <v>1134</v>
      </c>
      <c r="D33" s="209">
        <f>A4.2.1!G8</f>
        <v>1183</v>
      </c>
      <c r="E33" s="209">
        <f>A4.2.1!J8</f>
        <v>1164</v>
      </c>
      <c r="F33" s="210">
        <f>A4.2.1!M8</f>
        <v>1138</v>
      </c>
    </row>
    <row r="34" spans="1:6" ht="13.35" customHeight="1">
      <c r="A34" s="141"/>
      <c r="B34" s="218" t="s">
        <v>104</v>
      </c>
      <c r="C34" s="219">
        <f>A4.2.1!D9</f>
        <v>1302</v>
      </c>
      <c r="D34" s="219">
        <f>A4.2.1!G9</f>
        <v>1324</v>
      </c>
      <c r="E34" s="219">
        <f>A4.2.1!J9</f>
        <v>1182</v>
      </c>
      <c r="F34" s="220">
        <f>A4.2.1!M9</f>
        <v>1049</v>
      </c>
    </row>
    <row r="35" spans="1:6" ht="13.35" customHeight="1">
      <c r="A35" s="144" t="s">
        <v>0</v>
      </c>
      <c r="B35" s="211"/>
      <c r="C35" s="212">
        <f t="shared" ref="C35:F35" si="1">SUM(C28:C31)</f>
        <v>526571</v>
      </c>
      <c r="D35" s="212">
        <f t="shared" si="1"/>
        <v>530342</v>
      </c>
      <c r="E35" s="212">
        <f t="shared" si="1"/>
        <v>493083</v>
      </c>
      <c r="F35" s="213">
        <f t="shared" si="1"/>
        <v>466050</v>
      </c>
    </row>
    <row r="36" spans="1:6" ht="13.35" customHeight="1">
      <c r="A36" s="238" t="s">
        <v>43</v>
      </c>
      <c r="B36" s="239"/>
      <c r="C36" s="109"/>
      <c r="D36" s="109"/>
      <c r="E36" s="109"/>
      <c r="F36" s="145"/>
    </row>
    <row r="37" spans="1:6" ht="13.35" customHeight="1">
      <c r="A37" s="141"/>
      <c r="B37" s="14" t="s">
        <v>35</v>
      </c>
      <c r="C37" s="95">
        <f t="shared" ref="C37:F40" si="2">C28/C$35</f>
        <v>0.37246829012611782</v>
      </c>
      <c r="D37" s="95">
        <f t="shared" si="2"/>
        <v>0.37449607988807221</v>
      </c>
      <c r="E37" s="95">
        <f t="shared" si="2"/>
        <v>0.37234907713305876</v>
      </c>
      <c r="F37" s="146">
        <f t="shared" si="2"/>
        <v>0.37109752172513677</v>
      </c>
    </row>
    <row r="38" spans="1:6" ht="13.35" customHeight="1">
      <c r="A38" s="141"/>
      <c r="B38" s="14" t="s">
        <v>36</v>
      </c>
      <c r="C38" s="95">
        <f t="shared" si="2"/>
        <v>0.50491766542403593</v>
      </c>
      <c r="D38" s="95">
        <f t="shared" si="2"/>
        <v>0.50384468889886147</v>
      </c>
      <c r="E38" s="95">
        <f t="shared" si="2"/>
        <v>0.50248538278545396</v>
      </c>
      <c r="F38" s="146">
        <f t="shared" si="2"/>
        <v>0.50071880699495763</v>
      </c>
    </row>
    <row r="39" spans="1:6" ht="13.35" customHeight="1">
      <c r="A39" s="143"/>
      <c r="B39" s="14" t="s">
        <v>34</v>
      </c>
      <c r="C39" s="95">
        <f t="shared" si="2"/>
        <v>7.9206792626255532E-2</v>
      </c>
      <c r="D39" s="95">
        <f t="shared" si="2"/>
        <v>7.9641061805401037E-2</v>
      </c>
      <c r="E39" s="95">
        <f t="shared" si="2"/>
        <v>8.3803335341108898E-2</v>
      </c>
      <c r="F39" s="146">
        <f t="shared" si="2"/>
        <v>8.6776096985302004E-2</v>
      </c>
    </row>
    <row r="40" spans="1:6" ht="13.35" customHeight="1">
      <c r="A40" s="141"/>
      <c r="B40" s="14" t="s">
        <v>174</v>
      </c>
      <c r="C40" s="95">
        <f t="shared" si="2"/>
        <v>4.3407251823590738E-2</v>
      </c>
      <c r="D40" s="95">
        <f t="shared" si="2"/>
        <v>4.2018169407665243E-2</v>
      </c>
      <c r="E40" s="95">
        <f t="shared" si="2"/>
        <v>4.1362204740378397E-2</v>
      </c>
      <c r="F40" s="146">
        <f t="shared" si="2"/>
        <v>4.140757429460358E-2</v>
      </c>
    </row>
    <row r="41" spans="1:6" ht="13.35" customHeight="1">
      <c r="A41" s="147" t="s">
        <v>0</v>
      </c>
      <c r="B41" s="36"/>
      <c r="C41" s="98">
        <f t="shared" ref="C41:F41" si="3">SUM(C37:C40)</f>
        <v>1</v>
      </c>
      <c r="D41" s="98">
        <f t="shared" si="3"/>
        <v>0.99999999999999989</v>
      </c>
      <c r="E41" s="98">
        <f t="shared" si="3"/>
        <v>1</v>
      </c>
      <c r="F41" s="148">
        <f t="shared" si="3"/>
        <v>1</v>
      </c>
    </row>
    <row r="42" spans="1:6" ht="13.35" customHeight="1"/>
    <row r="43" spans="1:6" ht="13.35" customHeight="1"/>
  </sheetData>
  <mergeCells count="2">
    <mergeCell ref="A27:B27"/>
    <mergeCell ref="A36:B36"/>
  </mergeCells>
  <pageMargins left="0.78740157480314965" right="0.78740157480314965" top="1.1811023622047245" bottom="1.1811023622047245" header="0.51181102362204722" footer="0.51181102362204722"/>
  <pageSetup paperSize="9" scale="7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G38"/>
  <sheetViews>
    <sheetView showGridLines="0" zoomScaleNormal="100" workbookViewId="0"/>
  </sheetViews>
  <sheetFormatPr defaultRowHeight="12.75"/>
  <cols>
    <col min="1" max="1" width="1.5703125" style="118" customWidth="1"/>
    <col min="2" max="2" width="15.85546875" style="119" customWidth="1"/>
    <col min="3" max="4" width="12.28515625" style="119" customWidth="1"/>
    <col min="5" max="5" width="12.28515625" style="120" customWidth="1"/>
    <col min="6" max="6" width="10.7109375" style="121" customWidth="1"/>
    <col min="7" max="7" width="9.140625" style="121"/>
    <col min="8" max="16384" width="9.140625" style="122"/>
  </cols>
  <sheetData>
    <row r="1" spans="1:5" s="118" customFormat="1" ht="13.35" customHeight="1">
      <c r="A1" s="115" t="s">
        <v>165</v>
      </c>
      <c r="B1" s="116"/>
      <c r="C1" s="116"/>
      <c r="D1" s="116"/>
      <c r="E1" s="117"/>
    </row>
    <row r="2" spans="1:5" s="118" customFormat="1" ht="13.35" customHeight="1">
      <c r="A2" s="116"/>
      <c r="B2" s="116"/>
      <c r="C2" s="116"/>
      <c r="D2" s="116"/>
      <c r="E2" s="116"/>
    </row>
    <row r="3" spans="1:5" s="118" customFormat="1" ht="13.35" customHeight="1">
      <c r="A3" s="116"/>
      <c r="B3" s="116"/>
      <c r="C3" s="116"/>
      <c r="D3" s="116"/>
      <c r="E3" s="116"/>
    </row>
    <row r="4" spans="1:5" s="118" customFormat="1" ht="13.35" customHeight="1">
      <c r="A4" s="116"/>
      <c r="B4" s="116"/>
      <c r="C4" s="116"/>
      <c r="D4" s="116"/>
      <c r="E4" s="116"/>
    </row>
    <row r="5" spans="1:5" s="118" customFormat="1" ht="13.35" customHeight="1">
      <c r="A5" s="116"/>
      <c r="B5" s="116"/>
      <c r="C5" s="116"/>
      <c r="D5" s="116"/>
      <c r="E5" s="116"/>
    </row>
    <row r="6" spans="1:5" s="118" customFormat="1" ht="13.35" customHeight="1">
      <c r="A6" s="116"/>
      <c r="B6" s="116"/>
      <c r="C6" s="116"/>
      <c r="D6" s="116"/>
      <c r="E6" s="116"/>
    </row>
    <row r="7" spans="1:5" s="118" customFormat="1" ht="13.35" customHeight="1">
      <c r="A7" s="116"/>
      <c r="B7" s="116"/>
      <c r="C7" s="116"/>
      <c r="D7" s="116"/>
      <c r="E7" s="116"/>
    </row>
    <row r="8" spans="1:5" s="118" customFormat="1" ht="13.35" customHeight="1">
      <c r="A8" s="116"/>
      <c r="B8" s="116"/>
      <c r="C8" s="116"/>
      <c r="D8" s="116"/>
      <c r="E8" s="116"/>
    </row>
    <row r="9" spans="1:5" s="118" customFormat="1" ht="13.35" customHeight="1">
      <c r="A9" s="116"/>
      <c r="B9" s="116"/>
      <c r="C9" s="116"/>
      <c r="D9" s="116"/>
      <c r="E9" s="116"/>
    </row>
    <row r="10" spans="1:5" s="116" customFormat="1" ht="13.35" customHeight="1"/>
    <row r="11" spans="1:5" s="116" customFormat="1" ht="13.35" customHeight="1"/>
    <row r="12" spans="1:5" s="116" customFormat="1" ht="13.35" customHeight="1"/>
    <row r="13" spans="1:5" s="116" customFormat="1" ht="13.35" customHeight="1"/>
    <row r="14" spans="1:5" s="116" customFormat="1" ht="13.35" customHeight="1"/>
    <row r="15" spans="1:5" s="118" customFormat="1" ht="13.35" customHeight="1">
      <c r="A15" s="116"/>
      <c r="B15" s="116"/>
      <c r="C15" s="116"/>
      <c r="D15" s="116"/>
      <c r="E15" s="116"/>
    </row>
    <row r="16" spans="1:5" s="118" customFormat="1" ht="13.35" customHeight="1">
      <c r="A16" s="116"/>
      <c r="B16" s="116"/>
      <c r="C16" s="116"/>
      <c r="D16" s="116"/>
      <c r="E16" s="116"/>
    </row>
    <row r="17" spans="1:7" s="118" customFormat="1" ht="13.35" customHeight="1">
      <c r="A17" s="116"/>
      <c r="B17" s="116"/>
      <c r="C17" s="116"/>
      <c r="D17" s="116"/>
      <c r="E17" s="116"/>
    </row>
    <row r="18" spans="1:7" s="118" customFormat="1" ht="13.35" customHeight="1">
      <c r="A18" s="116"/>
      <c r="B18" s="116"/>
      <c r="C18" s="116"/>
      <c r="D18" s="116"/>
      <c r="E18" s="116"/>
    </row>
    <row r="19" spans="1:7" s="118" customFormat="1" ht="13.35" customHeight="1">
      <c r="A19" s="116"/>
      <c r="B19" s="116"/>
      <c r="C19" s="116"/>
      <c r="D19" s="116"/>
      <c r="E19" s="116"/>
    </row>
    <row r="20" spans="1:7" s="118" customFormat="1" ht="13.35" customHeight="1">
      <c r="A20" s="116"/>
      <c r="B20" s="116"/>
      <c r="C20" s="116"/>
      <c r="D20" s="116"/>
      <c r="E20" s="116"/>
    </row>
    <row r="21" spans="1:7" s="118" customFormat="1" ht="13.35" customHeight="1">
      <c r="A21" s="116"/>
      <c r="B21" s="116"/>
      <c r="C21" s="116"/>
      <c r="D21" s="116"/>
      <c r="E21" s="116"/>
    </row>
    <row r="22" spans="1:7" s="118" customFormat="1" ht="13.35" customHeight="1">
      <c r="A22" s="115"/>
      <c r="B22" s="116"/>
      <c r="C22" s="116"/>
      <c r="D22" s="116"/>
      <c r="E22" s="116"/>
    </row>
    <row r="23" spans="1:7" s="121" customFormat="1" ht="13.35" customHeight="1">
      <c r="A23" s="118"/>
      <c r="B23" s="119"/>
      <c r="C23" s="119"/>
      <c r="D23" s="119"/>
      <c r="E23" s="120"/>
    </row>
    <row r="24" spans="1:7" s="121" customFormat="1" ht="13.35" customHeight="1">
      <c r="A24" s="118"/>
      <c r="B24" s="178" t="s">
        <v>147</v>
      </c>
      <c r="C24" s="179"/>
      <c r="D24" s="179"/>
      <c r="E24" s="180"/>
    </row>
    <row r="25" spans="1:7" s="121" customFormat="1" ht="13.35" customHeight="1">
      <c r="A25" s="118"/>
      <c r="B25" s="178"/>
      <c r="C25" s="230" t="s">
        <v>148</v>
      </c>
      <c r="D25" s="231"/>
      <c r="E25" s="232"/>
    </row>
    <row r="26" spans="1:7" s="121" customFormat="1" ht="22.5">
      <c r="A26" s="118"/>
      <c r="B26" s="181"/>
      <c r="C26" s="182" t="s">
        <v>150</v>
      </c>
      <c r="D26" s="183" t="s">
        <v>151</v>
      </c>
      <c r="E26" s="221" t="s">
        <v>175</v>
      </c>
    </row>
    <row r="27" spans="1:7" s="121" customFormat="1" ht="13.35" customHeight="1">
      <c r="A27" s="118"/>
      <c r="B27" s="184" t="s">
        <v>38</v>
      </c>
      <c r="C27" s="185">
        <f>A4.4.2!D$37</f>
        <v>550527.70178300003</v>
      </c>
      <c r="D27" s="186">
        <f>-A4.4.2!E$37</f>
        <v>384753.53947000002</v>
      </c>
      <c r="E27" s="160">
        <f>A4.4.2!F$37</f>
        <v>165774.16231300001</v>
      </c>
    </row>
    <row r="28" spans="1:7" s="121" customFormat="1" ht="13.35" customHeight="1">
      <c r="A28" s="118"/>
      <c r="B28" s="184" t="s">
        <v>102</v>
      </c>
      <c r="C28" s="185">
        <f>A4.4.2!G$37</f>
        <v>613543.01037199993</v>
      </c>
      <c r="D28" s="186">
        <f>-A4.4.2!H$37</f>
        <v>426291.29208699998</v>
      </c>
      <c r="E28" s="160">
        <f>A4.4.2!I$37</f>
        <v>187251.71828500001</v>
      </c>
    </row>
    <row r="29" spans="1:7" s="118" customFormat="1" ht="13.35" customHeight="1">
      <c r="B29" s="184" t="s">
        <v>106</v>
      </c>
      <c r="C29" s="185">
        <f>A4.4.2!J$37</f>
        <v>616082.90770500014</v>
      </c>
      <c r="D29" s="186">
        <f>-A4.4.2!K$37</f>
        <v>424864.86996800004</v>
      </c>
      <c r="E29" s="160">
        <f>A4.4.2!L$37</f>
        <v>191218.03773700006</v>
      </c>
      <c r="F29" s="121"/>
      <c r="G29" s="121"/>
    </row>
    <row r="30" spans="1:7" s="118" customFormat="1" ht="13.35" customHeight="1">
      <c r="B30" s="187" t="s">
        <v>110</v>
      </c>
      <c r="C30" s="188">
        <f>A4.4.2!M$37</f>
        <v>673730.71230699995</v>
      </c>
      <c r="D30" s="189">
        <f>-A4.4.2!N$37</f>
        <v>467529.81554300012</v>
      </c>
      <c r="E30" s="190">
        <f>A4.4.2!O$37</f>
        <v>206200.89676400003</v>
      </c>
      <c r="F30" s="121"/>
      <c r="G30" s="121"/>
    </row>
    <row r="31" spans="1:7" s="118" customFormat="1" ht="13.35" customHeight="1">
      <c r="B31" s="191"/>
      <c r="C31" s="240" t="s">
        <v>149</v>
      </c>
      <c r="D31" s="233"/>
      <c r="E31" s="234"/>
      <c r="F31" s="121"/>
      <c r="G31" s="121"/>
    </row>
    <row r="32" spans="1:7" s="118" customFormat="1" ht="22.5">
      <c r="B32" s="192"/>
      <c r="C32" s="183" t="s">
        <v>150</v>
      </c>
      <c r="D32" s="183" t="s">
        <v>151</v>
      </c>
      <c r="E32" s="221" t="s">
        <v>176</v>
      </c>
      <c r="F32" s="121"/>
      <c r="G32" s="121"/>
    </row>
    <row r="33" spans="2:7" s="118" customFormat="1" ht="13.35" customHeight="1">
      <c r="B33" s="193" t="s">
        <v>38</v>
      </c>
      <c r="C33" s="186">
        <f>A4.4.3!D$37</f>
        <v>138318.500405</v>
      </c>
      <c r="D33" s="186">
        <f>-A4.4.3!E$37</f>
        <v>240586.23229899997</v>
      </c>
      <c r="E33" s="160">
        <f>-A4.4.3!F$37</f>
        <v>102267.731894</v>
      </c>
      <c r="F33" s="121"/>
      <c r="G33" s="121"/>
    </row>
    <row r="34" spans="2:7" s="118" customFormat="1" ht="13.35" customHeight="1">
      <c r="B34" s="193" t="s">
        <v>102</v>
      </c>
      <c r="C34" s="186">
        <f>A4.4.3!G$37</f>
        <v>177784.02405700003</v>
      </c>
      <c r="D34" s="186">
        <f>-A4.4.3!H$37</f>
        <v>311230.8978739999</v>
      </c>
      <c r="E34" s="160">
        <f>-A4.4.3!I$37</f>
        <v>133446.87381700004</v>
      </c>
      <c r="F34" s="121"/>
      <c r="G34" s="121"/>
    </row>
    <row r="35" spans="2:7" s="118" customFormat="1" ht="13.35" customHeight="1">
      <c r="B35" s="193" t="s">
        <v>106</v>
      </c>
      <c r="C35" s="186">
        <f>A4.4.3!J$37</f>
        <v>141647.08419300002</v>
      </c>
      <c r="D35" s="186">
        <f>-A4.4.3!K$37</f>
        <v>251311.30738499999</v>
      </c>
      <c r="E35" s="160">
        <f>-A4.4.3!L$37</f>
        <v>109664.22319200002</v>
      </c>
      <c r="F35" s="121"/>
      <c r="G35" s="121"/>
    </row>
    <row r="36" spans="2:7" s="118" customFormat="1" ht="13.35" customHeight="1">
      <c r="B36" s="194" t="s">
        <v>110</v>
      </c>
      <c r="C36" s="189">
        <f>A4.4.3!M$37</f>
        <v>161259.68289900001</v>
      </c>
      <c r="D36" s="189">
        <f>-A4.4.3!N$37</f>
        <v>276190.67866099998</v>
      </c>
      <c r="E36" s="190">
        <f>-A4.4.3!O$37</f>
        <v>114930.99576200001</v>
      </c>
      <c r="F36" s="121"/>
      <c r="G36" s="121"/>
    </row>
    <row r="37" spans="2:7" s="118" customFormat="1" ht="13.35" customHeight="1">
      <c r="B37" s="119"/>
      <c r="C37" s="119"/>
      <c r="D37" s="119"/>
      <c r="E37" s="120"/>
      <c r="F37" s="121"/>
      <c r="G37" s="121"/>
    </row>
    <row r="38" spans="2:7" s="118" customFormat="1" ht="13.35" customHeight="1">
      <c r="B38" s="119"/>
      <c r="C38" s="119"/>
      <c r="D38" s="119"/>
      <c r="E38" s="120"/>
      <c r="F38" s="121"/>
      <c r="G38" s="121"/>
    </row>
  </sheetData>
  <mergeCells count="2">
    <mergeCell ref="C25:E25"/>
    <mergeCell ref="C31:E31"/>
  </mergeCells>
  <pageMargins left="0.78740157480314965" right="0.78740157480314965" top="1.1811023622047245" bottom="1.1811023622047245" header="0.51181102362204722" footer="0.51181102362204722"/>
  <pageSetup paperSize="9" scale="8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 enableFormatConditionsCalculation="0">
    <tabColor theme="3"/>
    <pageSetUpPr fitToPage="1"/>
  </sheetPr>
  <dimension ref="A1:O42"/>
  <sheetViews>
    <sheetView showGridLines="0" zoomScaleNormal="100" workbookViewId="0"/>
  </sheetViews>
  <sheetFormatPr defaultRowHeight="12.75"/>
  <cols>
    <col min="1" max="1" width="0.85546875" style="29" customWidth="1"/>
    <col min="2" max="2" width="2.7109375" style="44" customWidth="1"/>
    <col min="3" max="3" width="36.7109375" style="44" customWidth="1"/>
    <col min="4" max="6" width="9.28515625" style="44" customWidth="1"/>
    <col min="7" max="8" width="9.28515625" style="45" customWidth="1"/>
    <col min="9" max="15" width="9.28515625" style="7" customWidth="1"/>
    <col min="16" max="16384" width="9.140625" style="12"/>
  </cols>
  <sheetData>
    <row r="1" spans="1:15" s="6" customFormat="1" ht="15" customHeight="1">
      <c r="A1" s="1" t="s">
        <v>113</v>
      </c>
      <c r="B1" s="1"/>
      <c r="C1" s="1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</row>
    <row r="2" spans="1:15" s="6" customFormat="1" ht="15" customHeight="1">
      <c r="A2" s="64"/>
      <c r="B2" s="65" t="s">
        <v>107</v>
      </c>
      <c r="C2" s="66"/>
      <c r="D2" s="55" t="s">
        <v>38</v>
      </c>
      <c r="E2" s="56"/>
      <c r="F2" s="56"/>
      <c r="G2" s="57" t="s">
        <v>102</v>
      </c>
      <c r="H2" s="56"/>
      <c r="I2" s="56"/>
      <c r="J2" s="57" t="s">
        <v>106</v>
      </c>
      <c r="K2" s="56"/>
      <c r="L2" s="56"/>
      <c r="M2" s="57" t="s">
        <v>110</v>
      </c>
      <c r="N2" s="56"/>
      <c r="O2" s="58"/>
    </row>
    <row r="3" spans="1:15" ht="22.5" customHeight="1">
      <c r="A3" s="59"/>
      <c r="B3" s="241" t="s">
        <v>93</v>
      </c>
      <c r="C3" s="237"/>
      <c r="D3" s="60" t="s">
        <v>5</v>
      </c>
      <c r="E3" s="61" t="s">
        <v>39</v>
      </c>
      <c r="F3" s="61" t="s">
        <v>40</v>
      </c>
      <c r="G3" s="60" t="s">
        <v>5</v>
      </c>
      <c r="H3" s="61" t="s">
        <v>39</v>
      </c>
      <c r="I3" s="61" t="s">
        <v>40</v>
      </c>
      <c r="J3" s="60" t="s">
        <v>5</v>
      </c>
      <c r="K3" s="61" t="s">
        <v>39</v>
      </c>
      <c r="L3" s="61" t="s">
        <v>40</v>
      </c>
      <c r="M3" s="60" t="s">
        <v>5</v>
      </c>
      <c r="N3" s="61" t="s">
        <v>39</v>
      </c>
      <c r="O3" s="62" t="s">
        <v>40</v>
      </c>
    </row>
    <row r="4" spans="1:15" ht="13.35" customHeight="1">
      <c r="A4" s="13"/>
      <c r="B4" s="14" t="s">
        <v>61</v>
      </c>
      <c r="C4" s="14"/>
      <c r="D4" s="15">
        <v>34959</v>
      </c>
      <c r="E4" s="16">
        <v>13425</v>
      </c>
      <c r="F4" s="16">
        <v>-6802</v>
      </c>
      <c r="G4" s="15">
        <v>37809</v>
      </c>
      <c r="H4" s="16">
        <v>15627</v>
      </c>
      <c r="I4" s="16">
        <v>-9442</v>
      </c>
      <c r="J4" s="15">
        <v>35104</v>
      </c>
      <c r="K4" s="16">
        <v>16046</v>
      </c>
      <c r="L4" s="16">
        <v>-7971</v>
      </c>
      <c r="M4" s="15">
        <v>32679</v>
      </c>
      <c r="N4" s="16">
        <v>16988</v>
      </c>
      <c r="O4" s="17">
        <v>-7413</v>
      </c>
    </row>
    <row r="5" spans="1:15" ht="13.35" customHeight="1">
      <c r="A5" s="13"/>
      <c r="B5" s="14" t="s">
        <v>62</v>
      </c>
      <c r="C5" s="21"/>
      <c r="D5" s="15">
        <v>68675</v>
      </c>
      <c r="E5" s="16">
        <v>8209</v>
      </c>
      <c r="F5" s="16">
        <v>-6794</v>
      </c>
      <c r="G5" s="15">
        <v>67863</v>
      </c>
      <c r="H5" s="16">
        <v>8224</v>
      </c>
      <c r="I5" s="16">
        <v>-11223</v>
      </c>
      <c r="J5" s="15">
        <v>64029</v>
      </c>
      <c r="K5" s="16">
        <v>10432</v>
      </c>
      <c r="L5" s="16">
        <v>-11645</v>
      </c>
      <c r="M5" s="15">
        <v>61910</v>
      </c>
      <c r="N5" s="16">
        <v>9725</v>
      </c>
      <c r="O5" s="17">
        <v>-8546</v>
      </c>
    </row>
    <row r="6" spans="1:15" ht="13.35" customHeight="1">
      <c r="A6" s="13"/>
      <c r="B6" s="14" t="s">
        <v>82</v>
      </c>
      <c r="C6" s="14"/>
      <c r="D6" s="15">
        <v>2274</v>
      </c>
      <c r="E6" s="16">
        <v>684</v>
      </c>
      <c r="F6" s="16">
        <v>-312</v>
      </c>
      <c r="G6" s="15">
        <v>2220</v>
      </c>
      <c r="H6" s="16">
        <v>675</v>
      </c>
      <c r="I6" s="16">
        <v>-455</v>
      </c>
      <c r="J6" s="15">
        <v>2008</v>
      </c>
      <c r="K6" s="16">
        <v>712</v>
      </c>
      <c r="L6" s="16">
        <v>-304</v>
      </c>
      <c r="M6" s="15">
        <v>1874</v>
      </c>
      <c r="N6" s="16">
        <v>718</v>
      </c>
      <c r="O6" s="17">
        <v>-283</v>
      </c>
    </row>
    <row r="7" spans="1:15" ht="13.35" customHeight="1">
      <c r="A7" s="13"/>
      <c r="B7" s="14" t="s">
        <v>63</v>
      </c>
      <c r="C7" s="14"/>
      <c r="D7" s="15">
        <v>17774</v>
      </c>
      <c r="E7" s="16">
        <v>2515</v>
      </c>
      <c r="F7" s="16">
        <v>-670</v>
      </c>
      <c r="G7" s="15">
        <v>17462</v>
      </c>
      <c r="H7" s="16">
        <v>2643</v>
      </c>
      <c r="I7" s="16">
        <v>-777</v>
      </c>
      <c r="J7" s="15">
        <v>15997</v>
      </c>
      <c r="K7" s="16">
        <v>2717</v>
      </c>
      <c r="L7" s="16">
        <v>-780</v>
      </c>
      <c r="M7" s="15">
        <v>14672</v>
      </c>
      <c r="N7" s="16">
        <v>3163</v>
      </c>
      <c r="O7" s="17">
        <v>-493</v>
      </c>
    </row>
    <row r="8" spans="1:15" ht="13.35" customHeight="1">
      <c r="A8" s="13"/>
      <c r="B8" s="14" t="s">
        <v>83</v>
      </c>
      <c r="C8" s="14"/>
      <c r="D8" s="15">
        <v>4254</v>
      </c>
      <c r="E8" s="16">
        <v>3478</v>
      </c>
      <c r="F8" s="16">
        <v>-1823</v>
      </c>
      <c r="G8" s="15">
        <v>4206</v>
      </c>
      <c r="H8" s="16">
        <v>3387</v>
      </c>
      <c r="I8" s="16">
        <v>-2956</v>
      </c>
      <c r="J8" s="15">
        <v>4048</v>
      </c>
      <c r="K8" s="16">
        <v>4039</v>
      </c>
      <c r="L8" s="16">
        <v>-2162</v>
      </c>
      <c r="M8" s="15">
        <v>3906</v>
      </c>
      <c r="N8" s="16">
        <v>4205</v>
      </c>
      <c r="O8" s="17">
        <v>-2056</v>
      </c>
    </row>
    <row r="9" spans="1:15" ht="13.35" customHeight="1">
      <c r="A9" s="13"/>
      <c r="B9" s="14" t="s">
        <v>64</v>
      </c>
      <c r="C9" s="14"/>
      <c r="D9" s="15">
        <v>2019</v>
      </c>
      <c r="E9" s="16">
        <v>717</v>
      </c>
      <c r="F9" s="16">
        <v>-100</v>
      </c>
      <c r="G9" s="15">
        <v>1952</v>
      </c>
      <c r="H9" s="16">
        <v>681</v>
      </c>
      <c r="I9" s="16">
        <v>-120</v>
      </c>
      <c r="J9" s="15">
        <v>1780</v>
      </c>
      <c r="K9" s="16">
        <v>770</v>
      </c>
      <c r="L9" s="16">
        <v>-95</v>
      </c>
      <c r="M9" s="15">
        <v>1620</v>
      </c>
      <c r="N9" s="16">
        <v>827</v>
      </c>
      <c r="O9" s="17">
        <v>-89</v>
      </c>
    </row>
    <row r="10" spans="1:15" ht="13.35" customHeight="1">
      <c r="A10" s="13"/>
      <c r="B10" s="14" t="s">
        <v>84</v>
      </c>
      <c r="C10" s="14"/>
      <c r="D10" s="15">
        <v>740</v>
      </c>
      <c r="E10" s="16">
        <v>3878</v>
      </c>
      <c r="F10" s="16">
        <v>-3684</v>
      </c>
      <c r="G10" s="15">
        <v>796</v>
      </c>
      <c r="H10" s="16">
        <v>5259</v>
      </c>
      <c r="I10" s="16">
        <v>-4484</v>
      </c>
      <c r="J10" s="15">
        <v>774</v>
      </c>
      <c r="K10" s="16">
        <v>2583</v>
      </c>
      <c r="L10" s="16">
        <v>-3511</v>
      </c>
      <c r="M10" s="15">
        <v>774</v>
      </c>
      <c r="N10" s="16">
        <v>3203</v>
      </c>
      <c r="O10" s="17">
        <v>-3881</v>
      </c>
    </row>
    <row r="11" spans="1:15" s="29" customFormat="1" ht="13.35" customHeight="1">
      <c r="A11" s="27"/>
      <c r="B11" s="28" t="s">
        <v>1</v>
      </c>
      <c r="C11" s="28"/>
      <c r="D11" s="15">
        <v>37374</v>
      </c>
      <c r="E11" s="16">
        <v>12019</v>
      </c>
      <c r="F11" s="16">
        <v>-3456</v>
      </c>
      <c r="G11" s="15">
        <v>37675</v>
      </c>
      <c r="H11" s="16">
        <v>14311</v>
      </c>
      <c r="I11" s="16">
        <v>-4256</v>
      </c>
      <c r="J11" s="15">
        <v>34333</v>
      </c>
      <c r="K11" s="16">
        <v>14000</v>
      </c>
      <c r="L11" s="16">
        <v>-3966</v>
      </c>
      <c r="M11" s="15">
        <v>31527</v>
      </c>
      <c r="N11" s="16">
        <v>13054</v>
      </c>
      <c r="O11" s="17">
        <v>-2970</v>
      </c>
    </row>
    <row r="12" spans="1:15" s="29" customFormat="1" ht="13.35" customHeight="1">
      <c r="A12" s="27"/>
      <c r="B12" s="28" t="s">
        <v>65</v>
      </c>
      <c r="C12" s="28"/>
      <c r="D12" s="15">
        <v>2143</v>
      </c>
      <c r="E12" s="16">
        <v>375</v>
      </c>
      <c r="F12" s="16">
        <v>-139</v>
      </c>
      <c r="G12" s="15">
        <v>2138</v>
      </c>
      <c r="H12" s="16">
        <v>427</v>
      </c>
      <c r="I12" s="16">
        <v>-157</v>
      </c>
      <c r="J12" s="15">
        <v>1981</v>
      </c>
      <c r="K12" s="16">
        <v>433</v>
      </c>
      <c r="L12" s="16">
        <v>-244</v>
      </c>
      <c r="M12" s="15">
        <v>1847</v>
      </c>
      <c r="N12" s="16">
        <v>442</v>
      </c>
      <c r="O12" s="17">
        <v>-212</v>
      </c>
    </row>
    <row r="13" spans="1:15" s="29" customFormat="1" ht="13.35" customHeight="1">
      <c r="A13" s="27"/>
      <c r="B13" s="30" t="s">
        <v>85</v>
      </c>
      <c r="C13" s="30"/>
      <c r="D13" s="15">
        <v>1065</v>
      </c>
      <c r="E13" s="16">
        <v>1231</v>
      </c>
      <c r="F13" s="16">
        <v>-334</v>
      </c>
      <c r="G13" s="15">
        <v>1187</v>
      </c>
      <c r="H13" s="16">
        <v>1378</v>
      </c>
      <c r="I13" s="16">
        <v>-407</v>
      </c>
      <c r="J13" s="15">
        <v>1142</v>
      </c>
      <c r="K13" s="16">
        <v>1793</v>
      </c>
      <c r="L13" s="16">
        <v>-362</v>
      </c>
      <c r="M13" s="15">
        <v>1111</v>
      </c>
      <c r="N13" s="16">
        <v>1893</v>
      </c>
      <c r="O13" s="17">
        <v>-432</v>
      </c>
    </row>
    <row r="14" spans="1:15" s="29" customFormat="1" ht="13.35" customHeight="1">
      <c r="A14" s="27"/>
      <c r="B14" s="30" t="s">
        <v>86</v>
      </c>
      <c r="C14" s="30"/>
      <c r="D14" s="15">
        <v>172436</v>
      </c>
      <c r="E14" s="16">
        <v>53830</v>
      </c>
      <c r="F14" s="16">
        <v>-18348</v>
      </c>
      <c r="G14" s="15">
        <v>176609</v>
      </c>
      <c r="H14" s="16">
        <v>59285</v>
      </c>
      <c r="I14" s="16">
        <v>-22155</v>
      </c>
      <c r="J14" s="15">
        <v>164896</v>
      </c>
      <c r="K14" s="16">
        <v>61138</v>
      </c>
      <c r="L14" s="16">
        <v>-17979</v>
      </c>
      <c r="M14" s="15">
        <v>157447</v>
      </c>
      <c r="N14" s="16">
        <v>65998</v>
      </c>
      <c r="O14" s="17">
        <v>-14791</v>
      </c>
    </row>
    <row r="15" spans="1:15" s="29" customFormat="1" ht="13.35" customHeight="1">
      <c r="A15" s="27"/>
      <c r="B15" s="30" t="s">
        <v>66</v>
      </c>
      <c r="C15" s="30"/>
      <c r="D15" s="15">
        <v>4170</v>
      </c>
      <c r="E15" s="16">
        <v>7140</v>
      </c>
      <c r="F15" s="16">
        <v>-2172</v>
      </c>
      <c r="G15" s="15">
        <v>4144</v>
      </c>
      <c r="H15" s="16">
        <v>7217</v>
      </c>
      <c r="I15" s="16">
        <v>-2725</v>
      </c>
      <c r="J15" s="15">
        <v>3886</v>
      </c>
      <c r="K15" s="16">
        <v>8290</v>
      </c>
      <c r="L15" s="16">
        <v>-2918</v>
      </c>
      <c r="M15" s="15">
        <v>3674</v>
      </c>
      <c r="N15" s="16">
        <v>8654</v>
      </c>
      <c r="O15" s="17">
        <v>-2743</v>
      </c>
    </row>
    <row r="16" spans="1:15" s="29" customFormat="1" ht="13.35" customHeight="1">
      <c r="A16" s="27"/>
      <c r="B16" s="30" t="s">
        <v>87</v>
      </c>
      <c r="C16" s="30"/>
      <c r="D16" s="15">
        <v>377</v>
      </c>
      <c r="E16" s="16">
        <v>97</v>
      </c>
      <c r="F16" s="16">
        <v>-89</v>
      </c>
      <c r="G16" s="15">
        <v>371</v>
      </c>
      <c r="H16" s="16">
        <v>92</v>
      </c>
      <c r="I16" s="16">
        <v>-93</v>
      </c>
      <c r="J16" s="15">
        <v>342</v>
      </c>
      <c r="K16" s="16">
        <v>108</v>
      </c>
      <c r="L16" s="16">
        <v>-41</v>
      </c>
      <c r="M16" s="15">
        <v>330</v>
      </c>
      <c r="N16" s="16">
        <v>106</v>
      </c>
      <c r="O16" s="17">
        <v>-67</v>
      </c>
    </row>
    <row r="17" spans="1:15" s="29" customFormat="1" ht="13.35" customHeight="1">
      <c r="A17" s="27"/>
      <c r="B17" s="30" t="s">
        <v>67</v>
      </c>
      <c r="C17" s="30"/>
      <c r="D17" s="15">
        <v>9304</v>
      </c>
      <c r="E17" s="16">
        <v>4749</v>
      </c>
      <c r="F17" s="16">
        <v>-1916</v>
      </c>
      <c r="G17" s="15">
        <v>9137</v>
      </c>
      <c r="H17" s="16">
        <v>5597</v>
      </c>
      <c r="I17" s="16">
        <v>-2546</v>
      </c>
      <c r="J17" s="15">
        <v>8601</v>
      </c>
      <c r="K17" s="16">
        <v>6816</v>
      </c>
      <c r="L17" s="16">
        <v>-1521</v>
      </c>
      <c r="M17" s="15">
        <v>8239</v>
      </c>
      <c r="N17" s="16">
        <v>6664</v>
      </c>
      <c r="O17" s="17">
        <v>-1748</v>
      </c>
    </row>
    <row r="18" spans="1:15" s="29" customFormat="1" ht="13.35" customHeight="1">
      <c r="A18" s="27"/>
      <c r="B18" s="30" t="s">
        <v>88</v>
      </c>
      <c r="C18" s="30"/>
      <c r="D18" s="15">
        <v>16779</v>
      </c>
      <c r="E18" s="16">
        <v>4201</v>
      </c>
      <c r="F18" s="16">
        <v>-305</v>
      </c>
      <c r="G18" s="15">
        <v>16761</v>
      </c>
      <c r="H18" s="16">
        <v>4586</v>
      </c>
      <c r="I18" s="16">
        <v>-368</v>
      </c>
      <c r="J18" s="15">
        <v>15970</v>
      </c>
      <c r="K18" s="16">
        <v>5181</v>
      </c>
      <c r="L18" s="16">
        <v>-368</v>
      </c>
      <c r="M18" s="15">
        <v>15065</v>
      </c>
      <c r="N18" s="16">
        <v>5731</v>
      </c>
      <c r="O18" s="17">
        <v>-272</v>
      </c>
    </row>
    <row r="19" spans="1:15" s="29" customFormat="1" ht="13.35" customHeight="1">
      <c r="A19" s="27"/>
      <c r="B19" s="30" t="s">
        <v>139</v>
      </c>
      <c r="C19" s="30"/>
      <c r="D19" s="15">
        <v>7996</v>
      </c>
      <c r="E19" s="16">
        <v>4073</v>
      </c>
      <c r="F19" s="16">
        <v>-5464</v>
      </c>
      <c r="G19" s="15">
        <v>8000</v>
      </c>
      <c r="H19" s="16">
        <v>4851</v>
      </c>
      <c r="I19" s="16">
        <v>-6155</v>
      </c>
      <c r="J19" s="15">
        <v>7520</v>
      </c>
      <c r="K19" s="16">
        <v>4165</v>
      </c>
      <c r="L19" s="16">
        <v>-4930</v>
      </c>
      <c r="M19" s="15">
        <v>7126</v>
      </c>
      <c r="N19" s="16">
        <v>4059</v>
      </c>
      <c r="O19" s="17">
        <v>-4589</v>
      </c>
    </row>
    <row r="20" spans="1:15" s="29" customFormat="1" ht="13.35" customHeight="1">
      <c r="A20" s="27"/>
      <c r="B20" s="30" t="s">
        <v>68</v>
      </c>
      <c r="C20" s="30"/>
      <c r="D20" s="15">
        <v>2658</v>
      </c>
      <c r="E20" s="16">
        <v>8840</v>
      </c>
      <c r="F20" s="16">
        <v>-19028</v>
      </c>
      <c r="G20" s="15">
        <v>2764</v>
      </c>
      <c r="H20" s="16">
        <v>8587</v>
      </c>
      <c r="I20" s="16">
        <v>-23138</v>
      </c>
      <c r="J20" s="15">
        <v>2538</v>
      </c>
      <c r="K20" s="16">
        <v>6128</v>
      </c>
      <c r="L20" s="16">
        <v>-25028</v>
      </c>
      <c r="M20" s="15">
        <v>2507</v>
      </c>
      <c r="N20" s="16">
        <v>6672</v>
      </c>
      <c r="O20" s="17">
        <v>-22410</v>
      </c>
    </row>
    <row r="21" spans="1:15" s="29" customFormat="1" ht="13.35" customHeight="1">
      <c r="A21" s="27"/>
      <c r="B21" s="30" t="s">
        <v>69</v>
      </c>
      <c r="C21" s="30"/>
      <c r="D21" s="15">
        <v>3710</v>
      </c>
      <c r="E21" s="16">
        <v>1129</v>
      </c>
      <c r="F21" s="16">
        <v>-1621</v>
      </c>
      <c r="G21" s="15">
        <v>3686</v>
      </c>
      <c r="H21" s="16">
        <v>1262</v>
      </c>
      <c r="I21" s="16">
        <v>-1801</v>
      </c>
      <c r="J21" s="15">
        <v>3446</v>
      </c>
      <c r="K21" s="16">
        <v>1381</v>
      </c>
      <c r="L21" s="16">
        <v>-1303</v>
      </c>
      <c r="M21" s="15">
        <v>3266</v>
      </c>
      <c r="N21" s="16">
        <v>1409</v>
      </c>
      <c r="O21" s="17">
        <v>-1296</v>
      </c>
    </row>
    <row r="22" spans="1:15" s="29" customFormat="1" ht="13.35" customHeight="1">
      <c r="A22" s="27"/>
      <c r="B22" s="30" t="s">
        <v>70</v>
      </c>
      <c r="C22" s="30"/>
      <c r="D22" s="15">
        <v>4553</v>
      </c>
      <c r="E22" s="16">
        <v>2350</v>
      </c>
      <c r="F22" s="16">
        <v>-919</v>
      </c>
      <c r="G22" s="15">
        <v>4459</v>
      </c>
      <c r="H22" s="16">
        <v>2320</v>
      </c>
      <c r="I22" s="16">
        <v>-822</v>
      </c>
      <c r="J22" s="15">
        <v>4128</v>
      </c>
      <c r="K22" s="16">
        <v>2678</v>
      </c>
      <c r="L22" s="16">
        <v>-642</v>
      </c>
      <c r="M22" s="15">
        <v>3893</v>
      </c>
      <c r="N22" s="16">
        <v>2746</v>
      </c>
      <c r="O22" s="17">
        <v>-658</v>
      </c>
    </row>
    <row r="23" spans="1:15" s="29" customFormat="1" ht="13.35" customHeight="1">
      <c r="A23" s="27"/>
      <c r="B23" s="30" t="s">
        <v>71</v>
      </c>
      <c r="C23" s="30"/>
      <c r="D23" s="15">
        <v>4957</v>
      </c>
      <c r="E23" s="16">
        <v>557</v>
      </c>
      <c r="F23" s="16">
        <v>-62</v>
      </c>
      <c r="G23" s="15">
        <v>4834</v>
      </c>
      <c r="H23" s="16">
        <v>601</v>
      </c>
      <c r="I23" s="16">
        <v>-49</v>
      </c>
      <c r="J23" s="15">
        <v>4295</v>
      </c>
      <c r="K23" s="16">
        <v>627</v>
      </c>
      <c r="L23" s="16">
        <v>-44</v>
      </c>
      <c r="M23" s="15">
        <v>3670</v>
      </c>
      <c r="N23" s="16">
        <v>680</v>
      </c>
      <c r="O23" s="17">
        <v>-43</v>
      </c>
    </row>
    <row r="24" spans="1:15" s="29" customFormat="1" ht="13.35" customHeight="1">
      <c r="A24" s="27"/>
      <c r="B24" s="30" t="s">
        <v>103</v>
      </c>
      <c r="C24" s="30"/>
      <c r="D24" s="15">
        <v>615</v>
      </c>
      <c r="E24" s="16">
        <v>847</v>
      </c>
      <c r="F24" s="16">
        <v>-3189</v>
      </c>
      <c r="G24" s="15">
        <v>616</v>
      </c>
      <c r="H24" s="16">
        <v>581</v>
      </c>
      <c r="I24" s="16">
        <v>-4625</v>
      </c>
      <c r="J24" s="15">
        <v>612</v>
      </c>
      <c r="K24" s="16">
        <v>931</v>
      </c>
      <c r="L24" s="16">
        <v>-6456</v>
      </c>
      <c r="M24" s="15">
        <v>644</v>
      </c>
      <c r="N24" s="16">
        <v>1226</v>
      </c>
      <c r="O24" s="17">
        <v>-4597</v>
      </c>
    </row>
    <row r="25" spans="1:15" s="29" customFormat="1" ht="13.35" customHeight="1">
      <c r="A25" s="27"/>
      <c r="B25" s="30" t="s">
        <v>89</v>
      </c>
      <c r="C25" s="30"/>
      <c r="D25" s="15">
        <v>4069</v>
      </c>
      <c r="E25" s="16">
        <v>1675</v>
      </c>
      <c r="F25" s="16">
        <v>-331</v>
      </c>
      <c r="G25" s="15">
        <v>4049</v>
      </c>
      <c r="H25" s="16">
        <v>1976</v>
      </c>
      <c r="I25" s="16">
        <v>-341</v>
      </c>
      <c r="J25" s="15">
        <v>3773</v>
      </c>
      <c r="K25" s="16">
        <v>2219</v>
      </c>
      <c r="L25" s="16">
        <v>-531</v>
      </c>
      <c r="M25" s="15">
        <v>3532</v>
      </c>
      <c r="N25" s="16">
        <v>2608</v>
      </c>
      <c r="O25" s="17">
        <v>-704</v>
      </c>
    </row>
    <row r="26" spans="1:15" s="29" customFormat="1" ht="13.35" customHeight="1">
      <c r="A26" s="27"/>
      <c r="B26" s="30" t="s">
        <v>72</v>
      </c>
      <c r="C26" s="30"/>
      <c r="D26" s="15">
        <v>646</v>
      </c>
      <c r="E26" s="16">
        <v>379</v>
      </c>
      <c r="F26" s="16">
        <v>-77</v>
      </c>
      <c r="G26" s="15">
        <v>661</v>
      </c>
      <c r="H26" s="16">
        <v>402</v>
      </c>
      <c r="I26" s="16">
        <v>-118</v>
      </c>
      <c r="J26" s="15">
        <v>615</v>
      </c>
      <c r="K26" s="16">
        <v>383</v>
      </c>
      <c r="L26" s="16">
        <v>-158</v>
      </c>
      <c r="M26" s="15">
        <v>603</v>
      </c>
      <c r="N26" s="16">
        <v>431</v>
      </c>
      <c r="O26" s="17">
        <v>-100</v>
      </c>
    </row>
    <row r="27" spans="1:15" s="29" customFormat="1" ht="13.35" customHeight="1">
      <c r="A27" s="27"/>
      <c r="B27" s="30" t="s">
        <v>73</v>
      </c>
      <c r="C27" s="30"/>
      <c r="D27" s="15">
        <v>54689</v>
      </c>
      <c r="E27" s="16">
        <v>10555</v>
      </c>
      <c r="F27" s="16">
        <v>-3538</v>
      </c>
      <c r="G27" s="15">
        <v>53478</v>
      </c>
      <c r="H27" s="16">
        <v>11071</v>
      </c>
      <c r="I27" s="16">
        <v>-4245</v>
      </c>
      <c r="J27" s="15">
        <v>49072</v>
      </c>
      <c r="K27" s="16">
        <v>11921</v>
      </c>
      <c r="L27" s="16">
        <v>-3761</v>
      </c>
      <c r="M27" s="15">
        <v>45609</v>
      </c>
      <c r="N27" s="16">
        <v>13178</v>
      </c>
      <c r="O27" s="17">
        <v>-3844</v>
      </c>
    </row>
    <row r="28" spans="1:15" s="29" customFormat="1" ht="13.35" customHeight="1">
      <c r="A28" s="27"/>
      <c r="B28" s="30" t="s">
        <v>74</v>
      </c>
      <c r="C28" s="30"/>
      <c r="D28" s="15">
        <v>785</v>
      </c>
      <c r="E28" s="16">
        <v>277</v>
      </c>
      <c r="F28" s="16">
        <v>-96</v>
      </c>
      <c r="G28" s="15">
        <v>770</v>
      </c>
      <c r="H28" s="16">
        <v>326</v>
      </c>
      <c r="I28" s="16">
        <v>-108</v>
      </c>
      <c r="J28" s="15">
        <v>743</v>
      </c>
      <c r="K28" s="16">
        <v>362</v>
      </c>
      <c r="L28" s="16">
        <v>-114</v>
      </c>
      <c r="M28" s="15">
        <v>734</v>
      </c>
      <c r="N28" s="16">
        <v>417</v>
      </c>
      <c r="O28" s="17">
        <v>-96</v>
      </c>
    </row>
    <row r="29" spans="1:15" s="29" customFormat="1" ht="13.35" customHeight="1">
      <c r="A29" s="27"/>
      <c r="B29" s="30" t="s">
        <v>75</v>
      </c>
      <c r="C29" s="30"/>
      <c r="D29" s="15">
        <v>2641</v>
      </c>
      <c r="E29" s="16">
        <v>372</v>
      </c>
      <c r="F29" s="16">
        <v>-270</v>
      </c>
      <c r="G29" s="15">
        <v>2720</v>
      </c>
      <c r="H29" s="16">
        <v>393</v>
      </c>
      <c r="I29" s="16">
        <v>-349</v>
      </c>
      <c r="J29" s="15">
        <v>2610</v>
      </c>
      <c r="K29" s="16">
        <v>408</v>
      </c>
      <c r="L29" s="16">
        <v>-468</v>
      </c>
      <c r="M29" s="15">
        <v>2549</v>
      </c>
      <c r="N29" s="16">
        <v>453</v>
      </c>
      <c r="O29" s="17">
        <v>-435</v>
      </c>
    </row>
    <row r="30" spans="1:15" s="29" customFormat="1" ht="13.35" customHeight="1">
      <c r="A30" s="27"/>
      <c r="B30" s="30" t="s">
        <v>90</v>
      </c>
      <c r="C30" s="30"/>
      <c r="D30" s="15">
        <v>10214</v>
      </c>
      <c r="E30" s="16">
        <v>1504</v>
      </c>
      <c r="F30" s="16">
        <v>-166</v>
      </c>
      <c r="G30" s="15">
        <v>9914</v>
      </c>
      <c r="H30" s="16">
        <v>1722</v>
      </c>
      <c r="I30" s="16">
        <v>-242</v>
      </c>
      <c r="J30" s="15">
        <v>9101</v>
      </c>
      <c r="K30" s="16">
        <v>1659</v>
      </c>
      <c r="L30" s="16">
        <v>-420</v>
      </c>
      <c r="M30" s="15">
        <v>8493</v>
      </c>
      <c r="N30" s="16">
        <v>1734</v>
      </c>
      <c r="O30" s="17">
        <v>-362</v>
      </c>
    </row>
    <row r="31" spans="1:15" s="29" customFormat="1" ht="13.35" customHeight="1">
      <c r="A31" s="27"/>
      <c r="B31" s="30" t="s">
        <v>2</v>
      </c>
      <c r="C31" s="30"/>
      <c r="D31" s="15">
        <v>1535</v>
      </c>
      <c r="E31" s="16">
        <v>687</v>
      </c>
      <c r="F31" s="16">
        <v>-254</v>
      </c>
      <c r="G31" s="15">
        <v>1470</v>
      </c>
      <c r="H31" s="16">
        <v>657</v>
      </c>
      <c r="I31" s="16">
        <v>-273</v>
      </c>
      <c r="J31" s="15">
        <v>1360</v>
      </c>
      <c r="K31" s="16">
        <v>836</v>
      </c>
      <c r="L31" s="16">
        <v>-214</v>
      </c>
      <c r="M31" s="15">
        <v>1290</v>
      </c>
      <c r="N31" s="16">
        <v>1013</v>
      </c>
      <c r="O31" s="17">
        <v>-183</v>
      </c>
    </row>
    <row r="32" spans="1:15" s="29" customFormat="1" ht="13.35" customHeight="1">
      <c r="A32" s="27"/>
      <c r="B32" s="30" t="s">
        <v>76</v>
      </c>
      <c r="C32" s="30"/>
      <c r="D32" s="15">
        <v>1233</v>
      </c>
      <c r="E32" s="16">
        <v>465</v>
      </c>
      <c r="F32" s="16">
        <v>-491</v>
      </c>
      <c r="G32" s="15">
        <v>1273</v>
      </c>
      <c r="H32" s="16">
        <v>570</v>
      </c>
      <c r="I32" s="16">
        <v>-719</v>
      </c>
      <c r="J32" s="15">
        <v>1172</v>
      </c>
      <c r="K32" s="16">
        <v>548</v>
      </c>
      <c r="L32" s="16">
        <v>-563</v>
      </c>
      <c r="M32" s="15">
        <v>1086</v>
      </c>
      <c r="N32" s="16">
        <v>532</v>
      </c>
      <c r="O32" s="17">
        <v>-292</v>
      </c>
    </row>
    <row r="33" spans="1:15" s="29" customFormat="1" ht="13.35" customHeight="1">
      <c r="A33" s="27"/>
      <c r="B33" s="30" t="s">
        <v>77</v>
      </c>
      <c r="C33" s="30"/>
      <c r="D33" s="15">
        <v>15865</v>
      </c>
      <c r="E33" s="16">
        <v>9737</v>
      </c>
      <c r="F33" s="16">
        <v>-4355</v>
      </c>
      <c r="G33" s="15">
        <v>16052</v>
      </c>
      <c r="H33" s="16">
        <v>10345</v>
      </c>
      <c r="I33" s="16">
        <v>-5588</v>
      </c>
      <c r="J33" s="15">
        <v>14625</v>
      </c>
      <c r="K33" s="16">
        <v>12011</v>
      </c>
      <c r="L33" s="16">
        <v>-5592</v>
      </c>
      <c r="M33" s="15">
        <v>13749</v>
      </c>
      <c r="N33" s="16">
        <v>12493</v>
      </c>
      <c r="O33" s="17">
        <v>-4672</v>
      </c>
    </row>
    <row r="34" spans="1:15" s="33" customFormat="1" ht="13.35" customHeight="1">
      <c r="A34" s="31"/>
      <c r="B34" s="32" t="s">
        <v>91</v>
      </c>
      <c r="C34" s="32"/>
      <c r="D34" s="15">
        <v>5436</v>
      </c>
      <c r="E34" s="16">
        <v>2628</v>
      </c>
      <c r="F34" s="16">
        <v>-6849</v>
      </c>
      <c r="G34" s="15">
        <v>5426</v>
      </c>
      <c r="H34" s="16">
        <v>3041</v>
      </c>
      <c r="I34" s="16">
        <v>-10730</v>
      </c>
      <c r="J34" s="15">
        <v>5049</v>
      </c>
      <c r="K34" s="16">
        <v>3918</v>
      </c>
      <c r="L34" s="16">
        <v>-5674</v>
      </c>
      <c r="M34" s="15">
        <v>4744</v>
      </c>
      <c r="N34" s="16">
        <v>3684</v>
      </c>
      <c r="O34" s="17">
        <v>-7643</v>
      </c>
    </row>
    <row r="35" spans="1:15" s="33" customFormat="1" ht="13.35" customHeight="1">
      <c r="A35" s="31"/>
      <c r="B35" s="32" t="s">
        <v>78</v>
      </c>
      <c r="C35" s="32"/>
      <c r="D35" s="15">
        <v>27033</v>
      </c>
      <c r="E35" s="16">
        <v>8688</v>
      </c>
      <c r="F35" s="16">
        <v>-4844</v>
      </c>
      <c r="G35" s="15">
        <v>26369</v>
      </c>
      <c r="H35" s="16">
        <v>9046</v>
      </c>
      <c r="I35" s="16">
        <v>-6089</v>
      </c>
      <c r="J35" s="15">
        <v>24410</v>
      </c>
      <c r="K35" s="16">
        <v>9485</v>
      </c>
      <c r="L35" s="16">
        <v>-5186</v>
      </c>
      <c r="M35" s="15">
        <v>23083</v>
      </c>
      <c r="N35" s="16">
        <v>9897</v>
      </c>
      <c r="O35" s="17">
        <v>-5066</v>
      </c>
    </row>
    <row r="36" spans="1:15" s="33" customFormat="1" ht="13.35" customHeight="1">
      <c r="A36" s="31"/>
      <c r="B36" s="32" t="s">
        <v>92</v>
      </c>
      <c r="C36" s="32"/>
      <c r="D36" s="15">
        <v>3549</v>
      </c>
      <c r="E36" s="16">
        <v>874</v>
      </c>
      <c r="F36" s="16">
        <v>-222</v>
      </c>
      <c r="G36" s="15">
        <v>3437</v>
      </c>
      <c r="H36" s="16">
        <v>831</v>
      </c>
      <c r="I36" s="16">
        <v>-246</v>
      </c>
      <c r="J36" s="15">
        <v>3084</v>
      </c>
      <c r="K36" s="16">
        <v>843</v>
      </c>
      <c r="L36" s="16">
        <v>-211</v>
      </c>
      <c r="M36" s="15">
        <v>2767</v>
      </c>
      <c r="N36" s="16">
        <v>856</v>
      </c>
      <c r="O36" s="17">
        <v>-141</v>
      </c>
    </row>
    <row r="37" spans="1:15" s="33" customFormat="1" ht="13.35" customHeight="1">
      <c r="A37" s="31"/>
      <c r="B37" s="32" t="s">
        <v>42</v>
      </c>
      <c r="C37" s="32"/>
      <c r="D37" s="15">
        <v>44</v>
      </c>
      <c r="E37" s="16">
        <v>26</v>
      </c>
      <c r="F37" s="16">
        <v>-2</v>
      </c>
      <c r="G37" s="15">
        <v>34</v>
      </c>
      <c r="H37" s="16">
        <v>19</v>
      </c>
      <c r="I37" s="16">
        <v>0</v>
      </c>
      <c r="J37" s="15">
        <v>39</v>
      </c>
      <c r="K37" s="16">
        <v>8</v>
      </c>
      <c r="L37" s="16">
        <v>-6</v>
      </c>
      <c r="M37" s="15">
        <v>30</v>
      </c>
      <c r="N37" s="16">
        <v>7</v>
      </c>
      <c r="O37" s="17">
        <v>0</v>
      </c>
    </row>
    <row r="38" spans="1:15" s="29" customFormat="1" ht="13.35" customHeight="1">
      <c r="A38" s="34"/>
      <c r="B38" s="35" t="s">
        <v>0</v>
      </c>
      <c r="C38" s="36"/>
      <c r="D38" s="37">
        <f t="shared" ref="D38:O38" si="0">SUM(D4:D37)</f>
        <v>526571</v>
      </c>
      <c r="E38" s="38">
        <f t="shared" si="0"/>
        <v>172211</v>
      </c>
      <c r="F38" s="38">
        <f t="shared" si="0"/>
        <v>-98722</v>
      </c>
      <c r="G38" s="37">
        <f t="shared" si="0"/>
        <v>530342</v>
      </c>
      <c r="H38" s="38">
        <f t="shared" si="0"/>
        <v>187990</v>
      </c>
      <c r="I38" s="38">
        <f t="shared" si="0"/>
        <v>-127802</v>
      </c>
      <c r="J38" s="37">
        <f t="shared" si="0"/>
        <v>493083</v>
      </c>
      <c r="K38" s="38">
        <f t="shared" si="0"/>
        <v>195569</v>
      </c>
      <c r="L38" s="38">
        <f t="shared" si="0"/>
        <v>-115168</v>
      </c>
      <c r="M38" s="37">
        <f t="shared" si="0"/>
        <v>466050</v>
      </c>
      <c r="N38" s="38">
        <f t="shared" si="0"/>
        <v>205466</v>
      </c>
      <c r="O38" s="39">
        <f t="shared" si="0"/>
        <v>-103127</v>
      </c>
    </row>
    <row r="39" spans="1:15" s="29" customFormat="1" ht="12" customHeight="1">
      <c r="B39" s="63" t="s">
        <v>94</v>
      </c>
    </row>
    <row r="40" spans="1:15" s="29" customFormat="1" ht="13.35" customHeight="1"/>
    <row r="41" spans="1:15" s="29" customFormat="1" ht="13.35" customHeight="1"/>
    <row r="42" spans="1:15" s="29" customFormat="1" ht="13.35" customHeight="1"/>
  </sheetData>
  <mergeCells count="1">
    <mergeCell ref="B3:C3"/>
  </mergeCells>
  <phoneticPr fontId="3" type="noConversion"/>
  <pageMargins left="0.98425196850393704" right="0.98425196850393704" top="1.1811023622047245" bottom="1.3779527559055118" header="0.51181102362204722" footer="0.39370078740157483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CONTENTS</vt:lpstr>
      <vt:lpstr>4.1</vt:lpstr>
      <vt:lpstr>4.2</vt:lpstr>
      <vt:lpstr>4.3</vt:lpstr>
      <vt:lpstr>Fig 4.1</vt:lpstr>
      <vt:lpstr>Fig 4.2</vt:lpstr>
      <vt:lpstr>Fig 4.3</vt:lpstr>
      <vt:lpstr>Fig 4.4</vt:lpstr>
      <vt:lpstr>A4.1.1</vt:lpstr>
      <vt:lpstr>A4.1.1 continued</vt:lpstr>
      <vt:lpstr>A4.2.1</vt:lpstr>
      <vt:lpstr>A4.2.2</vt:lpstr>
      <vt:lpstr>A4.2.3</vt:lpstr>
      <vt:lpstr>A4.2.4</vt:lpstr>
      <vt:lpstr>A4.2.5</vt:lpstr>
      <vt:lpstr>A4.3.1</vt:lpstr>
      <vt:lpstr>A4.4.1</vt:lpstr>
      <vt:lpstr>A4.4.2</vt:lpstr>
      <vt:lpstr>A4.4.3</vt:lpstr>
      <vt:lpstr>A4.5.1</vt:lpstr>
      <vt:lpstr>A4.5.2</vt:lpstr>
      <vt:lpstr>A4.6.1</vt:lpstr>
      <vt:lpstr>'4.1'!Print_Area</vt:lpstr>
      <vt:lpstr>'4.2'!Print_Area</vt:lpstr>
      <vt:lpstr>'4.3'!Print_Area</vt:lpstr>
      <vt:lpstr>A4.1.1!Print_Area</vt:lpstr>
      <vt:lpstr>'A4.1.1 continued'!Print_Area</vt:lpstr>
      <vt:lpstr>A4.2.1!Print_Area</vt:lpstr>
      <vt:lpstr>A4.2.2!Print_Area</vt:lpstr>
      <vt:lpstr>A4.2.3!Print_Area</vt:lpstr>
      <vt:lpstr>A4.2.4!Print_Area</vt:lpstr>
      <vt:lpstr>A4.2.5!Print_Area</vt:lpstr>
      <vt:lpstr>A4.3.1!Print_Area</vt:lpstr>
      <vt:lpstr>A4.4.1!Print_Area</vt:lpstr>
      <vt:lpstr>A4.4.2!Print_Area</vt:lpstr>
      <vt:lpstr>A4.4.3!Print_Area</vt:lpstr>
      <vt:lpstr>A4.5.1!Print_Area</vt:lpstr>
      <vt:lpstr>A4.5.2!Print_Area</vt:lpstr>
      <vt:lpstr>A4.6.1!Print_Area</vt:lpstr>
      <vt:lpstr>'Fig 4.1'!Print_Area</vt:lpstr>
      <vt:lpstr>'Fig 4.2'!Print_Area</vt:lpstr>
      <vt:lpstr>'Fig 4.3'!Print_Area</vt:lpstr>
      <vt:lpstr>'Fig 4.4'!Print_Area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s2016511 (Cristina da Silva)</cp:lastModifiedBy>
  <cp:lastPrinted>2012-01-30T10:30:12Z</cp:lastPrinted>
  <dcterms:created xsi:type="dcterms:W3CDTF">2007-11-26T18:19:11Z</dcterms:created>
  <dcterms:modified xsi:type="dcterms:W3CDTF">2012-02-07T08:02:10Z</dcterms:modified>
</cp:coreProperties>
</file>